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4"/>
  </bookViews>
  <sheets>
    <sheet name="Horizontal" sheetId="1" r:id="rId1"/>
    <sheet name="Vertical" sheetId="2" r:id="rId2"/>
    <sheet name="Current" sheetId="3" r:id="rId3"/>
    <sheet name="Designing" sheetId="4" r:id="rId4"/>
    <sheet name="Preemptive" sheetId="5" r:id="rId5"/>
  </sheets>
  <definedNames>
    <definedName name="_xlnm.Print_Area" localSheetId="4">'Preemptive'!$P$17:$AH$49</definedName>
  </definedNames>
  <calcPr fullCalcOnLoad="1"/>
</workbook>
</file>

<file path=xl/sharedStrings.xml><?xml version="1.0" encoding="utf-8"?>
<sst xmlns="http://schemas.openxmlformats.org/spreadsheetml/2006/main" count="600" uniqueCount="185">
  <si>
    <t>HAL inc.</t>
  </si>
  <si>
    <t>Station</t>
  </si>
  <si>
    <t>Lamination - Cores</t>
  </si>
  <si>
    <t>Matching</t>
  </si>
  <si>
    <t>Internal Circuitize</t>
  </si>
  <si>
    <t>Optical Test / Repair - Internal</t>
  </si>
  <si>
    <t>Lamination - Composites</t>
  </si>
  <si>
    <t>External Circuitize</t>
  </si>
  <si>
    <t>Optical Test / Repair - External</t>
  </si>
  <si>
    <t>Drilling</t>
  </si>
  <si>
    <t>Copper Plating</t>
  </si>
  <si>
    <t>Procoat</t>
  </si>
  <si>
    <t>Sizing</t>
  </si>
  <si>
    <t>EOL Test</t>
  </si>
  <si>
    <t># Machines</t>
  </si>
  <si>
    <t>MTTF (hrs)</t>
  </si>
  <si>
    <t>MTTR (hrs)</t>
  </si>
  <si>
    <t>Lot Size (panels)</t>
  </si>
  <si>
    <t>Setup Time (hrs)</t>
  </si>
  <si>
    <t>Non-bottleneck Time (hrs)</t>
  </si>
  <si>
    <t>Efficiency (u)</t>
  </si>
  <si>
    <t>Station CT (hr/p)</t>
  </si>
  <si>
    <t>*Base Rate (p/hr)</t>
  </si>
  <si>
    <t>*Station CT (hr/p)</t>
  </si>
  <si>
    <t>*without detractors</t>
  </si>
  <si>
    <t>Station Rate (p/hr)</t>
  </si>
  <si>
    <t>*Station Rate (p/hr)</t>
  </si>
  <si>
    <t>Base rate (p/hr)</t>
  </si>
  <si>
    <t>Base CT (hr/p)</t>
  </si>
  <si>
    <t>*Base CT (hr/p)</t>
  </si>
  <si>
    <t>Total</t>
  </si>
  <si>
    <t>TH =</t>
  </si>
  <si>
    <t>Service =</t>
  </si>
  <si>
    <t>*CT (days) =</t>
  </si>
  <si>
    <t>*Capacity =</t>
  </si>
  <si>
    <t>CT avg =</t>
  </si>
  <si>
    <t>Rejection Cost</t>
  </si>
  <si>
    <t>EOL =</t>
  </si>
  <si>
    <t>1st =</t>
  </si>
  <si>
    <t>2nd =</t>
  </si>
  <si>
    <t>Workday =</t>
  </si>
  <si>
    <t>Lot Adjusted</t>
  </si>
  <si>
    <t>Base Rate (Lot / hr)</t>
  </si>
  <si>
    <t>*Base Rate (Lot / hr)</t>
  </si>
  <si>
    <t>*Lot CT       (hr / lot)</t>
  </si>
  <si>
    <t>Lot CT       (hr / lot)</t>
  </si>
  <si>
    <t>WIP avg =</t>
  </si>
  <si>
    <t>*WIP</t>
  </si>
  <si>
    <t>WIP</t>
  </si>
  <si>
    <t>**WIP</t>
  </si>
  <si>
    <t>TH</t>
  </si>
  <si>
    <t>*TH</t>
  </si>
  <si>
    <t>**TH</t>
  </si>
  <si>
    <t>Current WIP avg =</t>
  </si>
  <si>
    <t>*without detractors, *!goal w/o detractors, **goal w/ detractors</t>
  </si>
  <si>
    <t>*!WIP</t>
  </si>
  <si>
    <t>Efficiency</t>
  </si>
  <si>
    <t>Availability (A)</t>
  </si>
  <si>
    <t>Max &gt;&gt;</t>
  </si>
  <si>
    <t>Min &gt;&gt; (bottleneck)</t>
  </si>
  <si>
    <t>Preemptive Capacity p/hr (rp)</t>
  </si>
  <si>
    <t>Non-preemptive Capacity p/hr  (rn)</t>
  </si>
  <si>
    <t>Base Rate     (p/hr) (rb)</t>
  </si>
  <si>
    <t>*Base Rate (p/hr)  (rb*)</t>
  </si>
  <si>
    <t xml:space="preserve">Raw ProcessTime (To=Tnb+1/rb) </t>
  </si>
  <si>
    <t>Total / Max</t>
  </si>
  <si>
    <t>Min / bottleneck</t>
  </si>
  <si>
    <t>up</t>
  </si>
  <si>
    <t>un</t>
  </si>
  <si>
    <t>ra (TH) =</t>
  </si>
  <si>
    <t>Utilization @</t>
  </si>
  <si>
    <t>@</t>
  </si>
  <si>
    <t>Preemptive Process Time (tp) hr/p</t>
  </si>
  <si>
    <t>Non-preemptive Process Time (tn) hr/p</t>
  </si>
  <si>
    <t>Preemptive Capacity p/day (rp)</t>
  </si>
  <si>
    <t>Non-preemptive Capacity p/day  (rn)</t>
  </si>
  <si>
    <t>current / day</t>
  </si>
  <si>
    <t>realistic / day</t>
  </si>
  <si>
    <t>goal / day</t>
  </si>
  <si>
    <t>current / hour</t>
  </si>
  <si>
    <t>realistic / hour</t>
  </si>
  <si>
    <t>goal / hour</t>
  </si>
  <si>
    <t>Process Time (to) hr/p</t>
  </si>
  <si>
    <t>Effective Capacity p/hr (ro)</t>
  </si>
  <si>
    <t>Effective Capacity p/day (ro)</t>
  </si>
  <si>
    <t>uo</t>
  </si>
  <si>
    <t>- a goal of 3000 /day is unreasonable given the current conditions</t>
  </si>
  <si>
    <t>- the goal of 3000 per day is feesable only neglecting variability</t>
  </si>
  <si>
    <t>- 3000 seems legitimate using only process times, and disregarding any cue time or setup time</t>
  </si>
  <si>
    <t>Single parts</t>
  </si>
  <si>
    <t>Batches</t>
  </si>
  <si>
    <t>Effective Process Time (to) hr/p</t>
  </si>
  <si>
    <t>Process Time (t) hr/p</t>
  </si>
  <si>
    <t>Preemptive Process Time (tp=te) hr/p</t>
  </si>
  <si>
    <t>(hr / batch)</t>
  </si>
  <si>
    <t>including efficiency (p 255) natural variability</t>
  </si>
  <si>
    <t>including effeicincy and avaiability (repairs) (p 261, 309)</t>
  </si>
  <si>
    <t>Tob =</t>
  </si>
  <si>
    <t>Tob = sum(Tnb + tp)</t>
  </si>
  <si>
    <r>
      <t>Natural Batch Process Time (Tob) excluding</t>
    </r>
    <r>
      <rPr>
        <sz val="10"/>
        <rFont val="Arial"/>
        <family val="0"/>
      </rPr>
      <t xml:space="preserve"> CTQ, variability, and </t>
    </r>
    <r>
      <rPr>
        <b/>
        <sz val="10"/>
        <rFont val="Arial"/>
        <family val="2"/>
      </rPr>
      <t>everything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except efficiency, break downs, and non-bottleneck time</t>
    </r>
  </si>
  <si>
    <r>
      <t xml:space="preserve">= CT* if everything between stations is perfect </t>
    </r>
    <r>
      <rPr>
        <b/>
        <sz val="10"/>
        <rFont val="Arial"/>
        <family val="2"/>
      </rPr>
      <t>Non-Split</t>
    </r>
  </si>
  <si>
    <t>days to complete =</t>
  </si>
  <si>
    <t>2 day approximatin is verified</t>
  </si>
  <si>
    <t>Toi =</t>
  </si>
  <si>
    <t>WIP =</t>
  </si>
  <si>
    <t>= CT* if only (1) part runs, and everything between stations is perfect. (setup time arbitrarily included)</t>
  </si>
  <si>
    <t>up*</t>
  </si>
  <si>
    <t>Optimal Lot sizes @1400 (k*)</t>
  </si>
  <si>
    <t>Optimal Lot sizes @2000 (k*)</t>
  </si>
  <si>
    <t>Optimal Lot sizes @3000 (k*)</t>
  </si>
  <si>
    <t>TH (ra) =</t>
  </si>
  <si>
    <t xml:space="preserve">p 504 single </t>
  </si>
  <si>
    <t>per day</t>
  </si>
  <si>
    <t>per hour</t>
  </si>
  <si>
    <t>ratio (act/opt)</t>
  </si>
  <si>
    <t>margin (under*)</t>
  </si>
  <si>
    <t>Machining</t>
  </si>
  <si>
    <t>neglecting pooled variability</t>
  </si>
  <si>
    <t>Preemptive conditions currently exist</t>
  </si>
  <si>
    <t>Non-Preemptive conditions will be the goals we build toward</t>
  </si>
  <si>
    <t>Process Time (tp=te)</t>
  </si>
  <si>
    <t>(tp=te)</t>
  </si>
  <si>
    <t>neglecting pooled variability *including # of machines at each station</t>
  </si>
  <si>
    <t>Current condition analysis includes:</t>
  </si>
  <si>
    <t>Comparison to Best Case</t>
  </si>
  <si>
    <t>Comparison to Worst Case</t>
  </si>
  <si>
    <t>Comparison to PWC</t>
  </si>
  <si>
    <t>Required variables:</t>
  </si>
  <si>
    <t>CTc (current)</t>
  </si>
  <si>
    <t>THc</t>
  </si>
  <si>
    <t>WIPc</t>
  </si>
  <si>
    <t>CTb</t>
  </si>
  <si>
    <t>CTw</t>
  </si>
  <si>
    <t>CTp</t>
  </si>
  <si>
    <t>THb</t>
  </si>
  <si>
    <t>THw</t>
  </si>
  <si>
    <t>THp</t>
  </si>
  <si>
    <t>WIPb</t>
  </si>
  <si>
    <t>WIPw</t>
  </si>
  <si>
    <t>WIPp</t>
  </si>
  <si>
    <t>w, rb (To, if w &lt; Wo)</t>
  </si>
  <si>
    <t>rb (w, To if w&lt;Wo)</t>
  </si>
  <si>
    <t>w, To</t>
  </si>
  <si>
    <t>To</t>
  </si>
  <si>
    <t>p 226</t>
  </si>
  <si>
    <t>p 227</t>
  </si>
  <si>
    <t>To, w, rb</t>
  </si>
  <si>
    <t>rb, w, Wo</t>
  </si>
  <si>
    <t>p 232</t>
  </si>
  <si>
    <t>PWC evaluated at various WIP levels (w)</t>
  </si>
  <si>
    <t>Use later for designing new changes</t>
  </si>
  <si>
    <t>To=</t>
  </si>
  <si>
    <t>rb=</t>
  </si>
  <si>
    <t>Wo =rb*To (p219)</t>
  </si>
  <si>
    <t>*Preemptive Process Time (tp=te) hr/p</t>
  </si>
  <si>
    <t>*per machine</t>
  </si>
  <si>
    <t>Wo=</t>
  </si>
  <si>
    <t>Graphing  numbers</t>
  </si>
  <si>
    <t>w</t>
  </si>
  <si>
    <t>Inputs</t>
  </si>
  <si>
    <t>CT (output)</t>
  </si>
  <si>
    <t>Other current analysis:</t>
  </si>
  <si>
    <t>Holding cost</t>
  </si>
  <si>
    <t>Reject cost at different stations</t>
  </si>
  <si>
    <t>2, 20, 200</t>
  </si>
  <si>
    <t>Lot size comparrison</t>
  </si>
  <si>
    <t>&gt;</t>
  </si>
  <si>
    <t>Capacity efficiency</t>
  </si>
  <si>
    <t>Numerous Efficiencies from p 291-292</t>
  </si>
  <si>
    <t>TH eff</t>
  </si>
  <si>
    <t>Utilization eff</t>
  </si>
  <si>
    <t>CT eff</t>
  </si>
  <si>
    <t>Inventory eff</t>
  </si>
  <si>
    <t>Eu =</t>
  </si>
  <si>
    <t>Ect =</t>
  </si>
  <si>
    <t>Einv =</t>
  </si>
  <si>
    <t>Irrelevant: Demand is being met</t>
  </si>
  <si>
    <t>ra =</t>
  </si>
  <si>
    <t>Current Performance</t>
  </si>
  <si>
    <t>CTc =</t>
  </si>
  <si>
    <t>THc =</t>
  </si>
  <si>
    <t>WIPc =</t>
  </si>
  <si>
    <t>*Equation 9.2 modified to include # of machines (p 309 eq 9.1 &amp; u=ra*te/k)</t>
  </si>
  <si>
    <t>Variability**</t>
  </si>
  <si>
    <t>**Variability generated using optimization algorithms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</si>
</sst>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"/>
    <numFmt numFmtId="166" formatCode="0.000000000"/>
    <numFmt numFmtId="167" formatCode="0.0000000000"/>
    <numFmt numFmtId="168" formatCode="0.00000000000"/>
    <numFmt numFmtId="169" formatCode="0.00000000"/>
    <numFmt numFmtId="170" formatCode="0.0000000"/>
    <numFmt numFmtId="171" formatCode="0.000000"/>
    <numFmt numFmtId="172" formatCode="0.0000"/>
    <numFmt numFmtId="173" formatCode="0.000"/>
    <numFmt numFmtId="174" formatCode="_(* #,##0.0_);_(* \(#,##0.0\);_(* &quot;-&quot;??_);_(@_)"/>
    <numFmt numFmtId="175" formatCode="_(* #,##0_);_(* \(#,##0\);_(* &quot;-&quot;??_);_(@_)"/>
    <numFmt numFmtId="176" formatCode="_(* #,##0.00000_);_(* \(#,##0.00000\);_(* &quot;-&quot;?????_);_(@_)"/>
    <numFmt numFmtId="177" formatCode="0.0"/>
    <numFmt numFmtId="178" formatCode="0;[Red]0"/>
    <numFmt numFmtId="179" formatCode="0_);[Red]\(0\)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.75"/>
      <name val="Arial"/>
      <family val="0"/>
    </font>
    <font>
      <b/>
      <sz val="8"/>
      <name val="Arial"/>
      <family val="0"/>
    </font>
    <font>
      <b/>
      <sz val="5.75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ck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7" xfId="0" applyBorder="1" applyAlignment="1">
      <alignment horizontal="left"/>
    </xf>
    <xf numFmtId="164" fontId="0" fillId="0" borderId="8" xfId="0" applyNumberFormat="1" applyBorder="1" applyAlignment="1">
      <alignment horizontal="left"/>
    </xf>
    <xf numFmtId="0" fontId="0" fillId="0" borderId="7" xfId="0" applyBorder="1" applyAlignment="1">
      <alignment/>
    </xf>
    <xf numFmtId="0" fontId="0" fillId="0" borderId="0" xfId="0" applyBorder="1" applyAlignment="1">
      <alignment horizontal="right"/>
    </xf>
    <xf numFmtId="173" fontId="0" fillId="0" borderId="1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175" fontId="0" fillId="0" borderId="7" xfId="15" applyNumberFormat="1" applyBorder="1" applyAlignment="1">
      <alignment horizontal="left"/>
    </xf>
    <xf numFmtId="175" fontId="0" fillId="0" borderId="0" xfId="15" applyNumberFormat="1" applyBorder="1" applyAlignment="1">
      <alignment horizontal="center"/>
    </xf>
    <xf numFmtId="175" fontId="0" fillId="0" borderId="1" xfId="15" applyNumberFormat="1" applyBorder="1" applyAlignment="1">
      <alignment horizontal="center"/>
    </xf>
    <xf numFmtId="43" fontId="0" fillId="0" borderId="1" xfId="0" applyNumberForma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0" fillId="0" borderId="1" xfId="0" applyFill="1" applyBorder="1" applyAlignment="1">
      <alignment horizontal="center" vertical="top" wrapText="1"/>
    </xf>
    <xf numFmtId="2" fontId="0" fillId="0" borderId="1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1" xfId="0" applyNumberFormat="1" applyFill="1" applyBorder="1" applyAlignment="1">
      <alignment/>
    </xf>
    <xf numFmtId="0" fontId="0" fillId="0" borderId="1" xfId="0" applyBorder="1" applyAlignment="1">
      <alignment horizontal="right" vertical="top" wrapText="1"/>
    </xf>
    <xf numFmtId="1" fontId="0" fillId="0" borderId="1" xfId="0" applyNumberFormat="1" applyBorder="1" applyAlignment="1">
      <alignment horizontal="left"/>
    </xf>
    <xf numFmtId="2" fontId="0" fillId="3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/>
    </xf>
    <xf numFmtId="173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right" vertical="top" wrapText="1"/>
    </xf>
    <xf numFmtId="2" fontId="0" fillId="0" borderId="1" xfId="0" applyNumberFormat="1" applyFill="1" applyBorder="1" applyAlignment="1">
      <alignment horizontal="right"/>
    </xf>
    <xf numFmtId="1" fontId="0" fillId="0" borderId="1" xfId="0" applyNumberFormat="1" applyFill="1" applyBorder="1" applyAlignment="1">
      <alignment horizontal="left"/>
    </xf>
    <xf numFmtId="165" fontId="0" fillId="0" borderId="1" xfId="0" applyNumberFormat="1" applyFill="1" applyBorder="1" applyAlignment="1">
      <alignment horizontal="left"/>
    </xf>
    <xf numFmtId="165" fontId="0" fillId="0" borderId="1" xfId="0" applyNumberForma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 vertical="top" wrapText="1"/>
    </xf>
    <xf numFmtId="0" fontId="0" fillId="0" borderId="0" xfId="0" applyAlignment="1" quotePrefix="1">
      <alignment/>
    </xf>
    <xf numFmtId="173" fontId="0" fillId="0" borderId="2" xfId="0" applyNumberFormat="1" applyFill="1" applyBorder="1" applyAlignment="1">
      <alignment horizontal="center"/>
    </xf>
    <xf numFmtId="173" fontId="0" fillId="0" borderId="1" xfId="0" applyNumberFormat="1" applyFill="1" applyBorder="1" applyAlignment="1">
      <alignment/>
    </xf>
    <xf numFmtId="0" fontId="1" fillId="0" borderId="1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3" xfId="0" applyBorder="1" applyAlignment="1" quotePrefix="1">
      <alignment/>
    </xf>
    <xf numFmtId="0" fontId="1" fillId="0" borderId="0" xfId="0" applyFont="1" applyBorder="1" applyAlignment="1">
      <alignment/>
    </xf>
    <xf numFmtId="0" fontId="0" fillId="2" borderId="1" xfId="0" applyFill="1" applyBorder="1" applyAlignment="1">
      <alignment horizontal="center" vertical="top" wrapText="1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2" fontId="1" fillId="0" borderId="16" xfId="0" applyNumberFormat="1" applyFont="1" applyBorder="1" applyAlignment="1">
      <alignment horizontal="left"/>
    </xf>
    <xf numFmtId="0" fontId="0" fillId="0" borderId="8" xfId="0" applyBorder="1" applyAlignment="1">
      <alignment horizontal="right"/>
    </xf>
    <xf numFmtId="0" fontId="0" fillId="0" borderId="17" xfId="0" applyBorder="1" applyAlignment="1">
      <alignment horizontal="center" vertical="top" wrapText="1"/>
    </xf>
    <xf numFmtId="165" fontId="0" fillId="0" borderId="17" xfId="0" applyNumberFormat="1" applyBorder="1" applyAlignment="1">
      <alignment horizontal="center"/>
    </xf>
    <xf numFmtId="165" fontId="1" fillId="0" borderId="18" xfId="0" applyNumberFormat="1" applyFont="1" applyBorder="1" applyAlignment="1">
      <alignment horizontal="left"/>
    </xf>
    <xf numFmtId="0" fontId="0" fillId="5" borderId="1" xfId="0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0" fontId="0" fillId="5" borderId="11" xfId="0" applyFill="1" applyBorder="1" applyAlignment="1">
      <alignment horizontal="center" vertical="top" wrapText="1"/>
    </xf>
    <xf numFmtId="0" fontId="0" fillId="5" borderId="11" xfId="0" applyFill="1" applyBorder="1" applyAlignment="1">
      <alignment horizontal="center"/>
    </xf>
    <xf numFmtId="0" fontId="0" fillId="0" borderId="9" xfId="0" applyBorder="1" applyAlignment="1">
      <alignment horizontal="right" vertical="top" wrapText="1"/>
    </xf>
    <xf numFmtId="1" fontId="0" fillId="0" borderId="9" xfId="0" applyNumberFormat="1" applyBorder="1" applyAlignment="1">
      <alignment horizontal="left"/>
    </xf>
    <xf numFmtId="2" fontId="0" fillId="0" borderId="2" xfId="0" applyNumberFormat="1" applyBorder="1" applyAlignment="1">
      <alignment/>
    </xf>
    <xf numFmtId="2" fontId="0" fillId="0" borderId="2" xfId="0" applyNumberFormat="1" applyFill="1" applyBorder="1" applyAlignment="1">
      <alignment/>
    </xf>
    <xf numFmtId="173" fontId="0" fillId="0" borderId="2" xfId="0" applyNumberFormat="1" applyFill="1" applyBorder="1" applyAlignment="1">
      <alignment/>
    </xf>
    <xf numFmtId="0" fontId="0" fillId="0" borderId="19" xfId="0" applyBorder="1" applyAlignment="1">
      <alignment horizontal="center" vertical="top" wrapText="1"/>
    </xf>
    <xf numFmtId="1" fontId="0" fillId="0" borderId="7" xfId="0" applyNumberFormat="1" applyBorder="1" applyAlignment="1">
      <alignment horizontal="left"/>
    </xf>
    <xf numFmtId="0" fontId="0" fillId="0" borderId="0" xfId="0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  <xf numFmtId="173" fontId="0" fillId="0" borderId="17" xfId="0" applyNumberFormat="1" applyBorder="1" applyAlignment="1">
      <alignment horizontal="center"/>
    </xf>
    <xf numFmtId="173" fontId="0" fillId="0" borderId="12" xfId="0" applyNumberFormat="1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 vertical="top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0" xfId="0" applyBorder="1" applyAlignment="1">
      <alignment horizontal="righ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/>
    </xf>
    <xf numFmtId="2" fontId="0" fillId="0" borderId="7" xfId="0" applyNumberFormat="1" applyBorder="1" applyAlignment="1">
      <alignment horizontal="left"/>
    </xf>
    <xf numFmtId="2" fontId="0" fillId="4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 vertical="top" wrapText="1"/>
    </xf>
    <xf numFmtId="0" fontId="0" fillId="6" borderId="0" xfId="0" applyFill="1" applyBorder="1" applyAlignment="1">
      <alignment horizontal="center" vertical="top" wrapText="1"/>
    </xf>
    <xf numFmtId="172" fontId="0" fillId="0" borderId="1" xfId="0" applyNumberFormat="1" applyBorder="1" applyAlignment="1">
      <alignment/>
    </xf>
    <xf numFmtId="172" fontId="0" fillId="0" borderId="7" xfId="0" applyNumberFormat="1" applyBorder="1" applyAlignment="1">
      <alignment/>
    </xf>
    <xf numFmtId="172" fontId="0" fillId="2" borderId="1" xfId="0" applyNumberFormat="1" applyFill="1" applyBorder="1" applyAlignment="1">
      <alignment/>
    </xf>
    <xf numFmtId="172" fontId="0" fillId="2" borderId="7" xfId="0" applyNumberFormat="1" applyFill="1" applyBorder="1" applyAlignment="1">
      <alignment/>
    </xf>
    <xf numFmtId="173" fontId="0" fillId="2" borderId="1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left"/>
    </xf>
    <xf numFmtId="0" fontId="0" fillId="2" borderId="1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7" borderId="13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0" xfId="0" applyFill="1" applyAlignment="1">
      <alignment/>
    </xf>
    <xf numFmtId="0" fontId="0" fillId="2" borderId="0" xfId="0" applyFill="1" applyAlignment="1">
      <alignment horizontal="center"/>
    </xf>
    <xf numFmtId="0" fontId="0" fillId="0" borderId="17" xfId="0" applyBorder="1" applyAlignment="1">
      <alignment/>
    </xf>
    <xf numFmtId="0" fontId="0" fillId="0" borderId="9" xfId="0" applyBorder="1" applyAlignment="1">
      <alignment horizontal="center" vertical="top" wrapText="1"/>
    </xf>
    <xf numFmtId="0" fontId="0" fillId="0" borderId="9" xfId="0" applyBorder="1" applyAlignment="1">
      <alignment/>
    </xf>
    <xf numFmtId="173" fontId="0" fillId="0" borderId="0" xfId="0" applyNumberFormat="1" applyBorder="1" applyAlignment="1">
      <alignment horizontal="center" vertical="top" wrapText="1"/>
    </xf>
    <xf numFmtId="173" fontId="0" fillId="0" borderId="0" xfId="0" applyNumberFormat="1" applyBorder="1" applyAlignment="1">
      <alignment horizontal="left"/>
    </xf>
    <xf numFmtId="165" fontId="0" fillId="0" borderId="0" xfId="0" applyNumberFormat="1" applyBorder="1" applyAlignment="1">
      <alignment horizontal="left"/>
    </xf>
    <xf numFmtId="173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1" fillId="0" borderId="23" xfId="0" applyFont="1" applyBorder="1" applyAlignment="1">
      <alignment/>
    </xf>
    <xf numFmtId="165" fontId="0" fillId="0" borderId="0" xfId="0" applyNumberFormat="1" applyBorder="1" applyAlignment="1">
      <alignment horizontal="right"/>
    </xf>
    <xf numFmtId="2" fontId="0" fillId="0" borderId="0" xfId="0" applyNumberFormat="1" applyAlignment="1">
      <alignment horizontal="left"/>
    </xf>
    <xf numFmtId="165" fontId="0" fillId="0" borderId="0" xfId="0" applyNumberFormat="1" applyFill="1" applyBorder="1" applyAlignment="1">
      <alignment horizontal="left"/>
    </xf>
    <xf numFmtId="0" fontId="0" fillId="0" borderId="7" xfId="0" applyFill="1" applyBorder="1" applyAlignment="1">
      <alignment/>
    </xf>
    <xf numFmtId="165" fontId="0" fillId="0" borderId="7" xfId="0" applyNumberFormat="1" applyFill="1" applyBorder="1" applyAlignment="1">
      <alignment horizontal="left"/>
    </xf>
    <xf numFmtId="0" fontId="0" fillId="6" borderId="1" xfId="0" applyFill="1" applyBorder="1" applyAlignment="1">
      <alignment/>
    </xf>
    <xf numFmtId="0" fontId="0" fillId="0" borderId="0" xfId="0" applyAlignment="1">
      <alignment horizontal="left"/>
    </xf>
    <xf numFmtId="165" fontId="0" fillId="0" borderId="1" xfId="0" applyNumberFormat="1" applyBorder="1" applyAlignment="1">
      <alignment horizontal="left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Border="1" applyAlignment="1">
      <alignment horizontal="left" vertical="top"/>
    </xf>
    <xf numFmtId="165" fontId="0" fillId="0" borderId="0" xfId="0" applyNumberFormat="1" applyFill="1" applyBorder="1" applyAlignment="1">
      <alignment/>
    </xf>
    <xf numFmtId="172" fontId="0" fillId="0" borderId="0" xfId="0" applyNumberFormat="1" applyAlignment="1">
      <alignment horizontal="center"/>
    </xf>
    <xf numFmtId="172" fontId="0" fillId="0" borderId="7" xfId="0" applyNumberFormat="1" applyFill="1" applyBorder="1" applyAlignment="1">
      <alignment/>
    </xf>
    <xf numFmtId="172" fontId="0" fillId="0" borderId="1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 quotePrefix="1">
      <alignment/>
    </xf>
    <xf numFmtId="0" fontId="0" fillId="0" borderId="0" xfId="0" applyFill="1" applyBorder="1" applyAlignment="1">
      <alignment horizontal="left"/>
    </xf>
    <xf numFmtId="0" fontId="0" fillId="8" borderId="1" xfId="0" applyFill="1" applyBorder="1" applyAlignment="1">
      <alignment horizontal="center" vertical="top" wrapText="1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 vertical="top" wrapText="1"/>
    </xf>
    <xf numFmtId="2" fontId="0" fillId="9" borderId="1" xfId="0" applyNumberFormat="1" applyFill="1" applyBorder="1" applyAlignment="1">
      <alignment horizontal="center"/>
    </xf>
    <xf numFmtId="173" fontId="0" fillId="9" borderId="1" xfId="0" applyNumberFormat="1" applyFill="1" applyBorder="1" applyAlignment="1">
      <alignment horizontal="center"/>
    </xf>
    <xf numFmtId="165" fontId="0" fillId="0" borderId="17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0" fontId="0" fillId="6" borderId="11" xfId="0" applyFill="1" applyBorder="1" applyAlignment="1">
      <alignment horizontal="center" vertical="top" wrapText="1"/>
    </xf>
    <xf numFmtId="0" fontId="0" fillId="6" borderId="11" xfId="0" applyFill="1" applyBorder="1" applyAlignment="1">
      <alignment horizontal="center"/>
    </xf>
    <xf numFmtId="0" fontId="1" fillId="9" borderId="14" xfId="0" applyFont="1" applyFill="1" applyBorder="1" applyAlignment="1">
      <alignment horizontal="right"/>
    </xf>
    <xf numFmtId="165" fontId="1" fillId="9" borderId="18" xfId="0" applyNumberFormat="1" applyFont="1" applyFill="1" applyBorder="1" applyAlignment="1">
      <alignment horizontal="left"/>
    </xf>
    <xf numFmtId="2" fontId="0" fillId="9" borderId="4" xfId="0" applyNumberFormat="1" applyFill="1" applyBorder="1" applyAlignment="1">
      <alignment horizontal="left"/>
    </xf>
    <xf numFmtId="2" fontId="0" fillId="9" borderId="32" xfId="0" applyNumberFormat="1" applyFill="1" applyBorder="1" applyAlignment="1">
      <alignment horizontal="left"/>
    </xf>
    <xf numFmtId="2" fontId="0" fillId="9" borderId="6" xfId="0" applyNumberFormat="1" applyFill="1" applyBorder="1" applyAlignment="1">
      <alignment horizontal="left"/>
    </xf>
    <xf numFmtId="173" fontId="0" fillId="9" borderId="3" xfId="0" applyNumberFormat="1" applyFill="1" applyBorder="1" applyAlignment="1">
      <alignment horizontal="right"/>
    </xf>
    <xf numFmtId="165" fontId="0" fillId="9" borderId="10" xfId="0" applyNumberFormat="1" applyFill="1" applyBorder="1" applyAlignment="1">
      <alignment horizontal="right"/>
    </xf>
    <xf numFmtId="165" fontId="0" fillId="9" borderId="5" xfId="0" applyNumberFormat="1" applyFill="1" applyBorder="1" applyAlignment="1">
      <alignment horizontal="right"/>
    </xf>
    <xf numFmtId="0" fontId="1" fillId="9" borderId="15" xfId="0" applyFont="1" applyFill="1" applyBorder="1" applyAlignment="1">
      <alignment horizontal="right"/>
    </xf>
    <xf numFmtId="2" fontId="1" fillId="9" borderId="16" xfId="0" applyNumberFormat="1" applyFont="1" applyFill="1" applyBorder="1" applyAlignment="1">
      <alignment horizontal="left"/>
    </xf>
    <xf numFmtId="0" fontId="0" fillId="9" borderId="2" xfId="0" applyFill="1" applyBorder="1" applyAlignment="1">
      <alignment/>
    </xf>
    <xf numFmtId="0" fontId="0" fillId="9" borderId="8" xfId="0" applyFill="1" applyBorder="1" applyAlignment="1">
      <alignment horizontal="right"/>
    </xf>
    <xf numFmtId="2" fontId="0" fillId="9" borderId="7" xfId="0" applyNumberFormat="1" applyFill="1" applyBorder="1" applyAlignment="1">
      <alignment horizontal="left"/>
    </xf>
    <xf numFmtId="0" fontId="0" fillId="9" borderId="0" xfId="0" applyFill="1" applyAlignment="1">
      <alignment/>
    </xf>
    <xf numFmtId="0" fontId="0" fillId="9" borderId="2" xfId="0" applyFill="1" applyBorder="1" applyAlignment="1">
      <alignment horizontal="right" vertical="top" wrapText="1"/>
    </xf>
    <xf numFmtId="1" fontId="0" fillId="9" borderId="7" xfId="0" applyNumberFormat="1" applyFill="1" applyBorder="1" applyAlignment="1">
      <alignment horizontal="left"/>
    </xf>
    <xf numFmtId="0" fontId="0" fillId="9" borderId="0" xfId="0" applyFill="1" applyBorder="1" applyAlignment="1">
      <alignment horizontal="left"/>
    </xf>
    <xf numFmtId="2" fontId="0" fillId="8" borderId="9" xfId="0" applyNumberFormat="1" applyFill="1" applyBorder="1" applyAlignment="1">
      <alignment horizontal="center"/>
    </xf>
    <xf numFmtId="0" fontId="0" fillId="8" borderId="9" xfId="0" applyFill="1" applyBorder="1" applyAlignment="1">
      <alignment horizontal="center" vertical="top" wrapText="1"/>
    </xf>
    <xf numFmtId="0" fontId="0" fillId="0" borderId="33" xfId="0" applyBorder="1" applyAlignment="1">
      <alignment/>
    </xf>
    <xf numFmtId="2" fontId="0" fillId="6" borderId="1" xfId="0" applyNumberFormat="1" applyFill="1" applyBorder="1" applyAlignment="1">
      <alignment horizontal="right"/>
    </xf>
    <xf numFmtId="2" fontId="0" fillId="6" borderId="1" xfId="0" applyNumberFormat="1" applyFill="1" applyBorder="1" applyAlignment="1">
      <alignment/>
    </xf>
    <xf numFmtId="2" fontId="0" fillId="6" borderId="20" xfId="0" applyNumberFormat="1" applyFill="1" applyBorder="1" applyAlignment="1">
      <alignment horizontal="right"/>
    </xf>
    <xf numFmtId="1" fontId="0" fillId="6" borderId="18" xfId="0" applyNumberForma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right" vertical="top" wrapText="1"/>
    </xf>
    <xf numFmtId="1" fontId="0" fillId="0" borderId="0" xfId="0" applyNumberFormat="1" applyFill="1" applyBorder="1" applyAlignment="1">
      <alignment horizontal="left"/>
    </xf>
    <xf numFmtId="0" fontId="0" fillId="6" borderId="3" xfId="0" applyFill="1" applyBorder="1" applyAlignment="1">
      <alignment horizontal="right"/>
    </xf>
    <xf numFmtId="0" fontId="0" fillId="6" borderId="4" xfId="0" applyFill="1" applyBorder="1" applyAlignment="1">
      <alignment horizontal="left"/>
    </xf>
    <xf numFmtId="0" fontId="0" fillId="6" borderId="2" xfId="0" applyFill="1" applyBorder="1" applyAlignment="1">
      <alignment horizontal="right"/>
    </xf>
    <xf numFmtId="0" fontId="0" fillId="6" borderId="7" xfId="0" applyFill="1" applyBorder="1" applyAlignment="1">
      <alignment horizontal="left"/>
    </xf>
    <xf numFmtId="0" fontId="0" fillId="6" borderId="5" xfId="0" applyFill="1" applyBorder="1" applyAlignment="1">
      <alignment horizontal="right"/>
    </xf>
    <xf numFmtId="0" fontId="0" fillId="6" borderId="6" xfId="0" applyFill="1" applyBorder="1" applyAlignment="1">
      <alignment horizontal="left"/>
    </xf>
    <xf numFmtId="0" fontId="0" fillId="9" borderId="0" xfId="0" applyFill="1" applyAlignment="1">
      <alignment horizontal="left"/>
    </xf>
    <xf numFmtId="172" fontId="0" fillId="9" borderId="0" xfId="0" applyNumberFormat="1" applyFill="1" applyAlignment="1">
      <alignment horizontal="center"/>
    </xf>
    <xf numFmtId="0" fontId="0" fillId="9" borderId="0" xfId="0" applyFill="1" applyAlignment="1">
      <alignment horizontal="right"/>
    </xf>
    <xf numFmtId="0" fontId="0" fillId="9" borderId="0" xfId="0" applyFill="1" applyAlignment="1">
      <alignment/>
    </xf>
    <xf numFmtId="2" fontId="0" fillId="9" borderId="2" xfId="0" applyNumberFormat="1" applyFill="1" applyBorder="1" applyAlignment="1">
      <alignment/>
    </xf>
    <xf numFmtId="0" fontId="0" fillId="6" borderId="0" xfId="0" applyFill="1" applyBorder="1" applyAlignment="1">
      <alignment horizontal="right"/>
    </xf>
    <xf numFmtId="0" fontId="0" fillId="8" borderId="26" xfId="0" applyFill="1" applyBorder="1" applyAlignment="1">
      <alignment horizontal="center" vertical="top" wrapText="1"/>
    </xf>
    <xf numFmtId="0" fontId="0" fillId="9" borderId="28" xfId="0" applyFill="1" applyBorder="1" applyAlignment="1">
      <alignment horizontal="center" vertical="top" wrapText="1"/>
    </xf>
    <xf numFmtId="179" fontId="0" fillId="9" borderId="12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Cycle Time
Preemptive performance comparison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5"/>
          <c:y val="0.116"/>
          <c:w val="0.79875"/>
          <c:h val="0.88525"/>
        </c:manualLayout>
      </c:layout>
      <c:line3DChart>
        <c:grouping val="standard"/>
        <c:varyColors val="0"/>
        <c:ser>
          <c:idx val="0"/>
          <c:order val="0"/>
          <c:tx>
            <c:strRef>
              <c:f>Preemptive!$B$54</c:f>
              <c:strCache>
                <c:ptCount val="1"/>
                <c:pt idx="0">
                  <c:v>CTb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Preemptive!$B$53:$AF$53</c:f>
              <c:strCache/>
            </c:strRef>
          </c:cat>
          <c:val>
            <c:numRef>
              <c:f>Preemptive!$C$54:$AF$54</c:f>
              <c:numCache/>
            </c:numRef>
          </c:val>
          <c:smooth val="0"/>
        </c:ser>
        <c:ser>
          <c:idx val="2"/>
          <c:order val="1"/>
          <c:tx>
            <c:strRef>
              <c:f>Preemptive!$B$56</c:f>
              <c:strCache>
                <c:ptCount val="1"/>
                <c:pt idx="0">
                  <c:v>CTp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Preemptive!$B$53:$AF$53</c:f>
              <c:strCache/>
            </c:strRef>
          </c:cat>
          <c:val>
            <c:numRef>
              <c:f>Preemptive!$C$56:$AF$56</c:f>
              <c:numCache/>
            </c:numRef>
          </c:val>
          <c:smooth val="0"/>
        </c:ser>
        <c:axId val="46235528"/>
        <c:axId val="65761897"/>
        <c:axId val="28046822"/>
      </c:line3DChart>
      <c:catAx>
        <c:axId val="46235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WIP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5761897"/>
        <c:crosses val="autoZero"/>
        <c:auto val="1"/>
        <c:lblOffset val="100"/>
        <c:noMultiLvlLbl val="0"/>
      </c:catAx>
      <c:valAx>
        <c:axId val="657618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CT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235528"/>
        <c:crossesAt val="1"/>
        <c:crossBetween val="between"/>
        <c:dispUnits/>
      </c:valAx>
      <c:serAx>
        <c:axId val="28046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76189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025"/>
          <c:y val="0.4325"/>
          <c:w val="0.13125"/>
          <c:h val="0.17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Throughput 
Preemptive Performance Comparrison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95"/>
          <c:y val="0.1775"/>
          <c:w val="0.8605"/>
          <c:h val="0.79175"/>
        </c:manualLayout>
      </c:layout>
      <c:line3DChart>
        <c:grouping val="standard"/>
        <c:varyColors val="0"/>
        <c:ser>
          <c:idx val="0"/>
          <c:order val="0"/>
          <c:tx>
            <c:strRef>
              <c:f>Preemptive!$B$58</c:f>
              <c:strCache>
                <c:ptCount val="1"/>
                <c:pt idx="0">
                  <c:v>THb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Preemptive!$B$53:$AF$53</c:f>
              <c:strCache/>
            </c:strRef>
          </c:cat>
          <c:val>
            <c:numRef>
              <c:f>Preemptive!$C$58:$AF$58</c:f>
              <c:numCache/>
            </c:numRef>
          </c:val>
          <c:smooth val="0"/>
        </c:ser>
        <c:ser>
          <c:idx val="1"/>
          <c:order val="1"/>
          <c:tx>
            <c:strRef>
              <c:f>Preemptive!$B$59</c:f>
              <c:strCache>
                <c:ptCount val="1"/>
                <c:pt idx="0">
                  <c:v>THw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Preemptive!$B$53:$AF$53</c:f>
              <c:strCache/>
            </c:strRef>
          </c:cat>
          <c:val>
            <c:numRef>
              <c:f>Preemptive!$C$59:$AF$59</c:f>
              <c:numCache/>
            </c:numRef>
          </c:val>
          <c:smooth val="0"/>
        </c:ser>
        <c:ser>
          <c:idx val="2"/>
          <c:order val="2"/>
          <c:tx>
            <c:strRef>
              <c:f>Preemptive!$B$60</c:f>
              <c:strCache>
                <c:ptCount val="1"/>
                <c:pt idx="0">
                  <c:v>THp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Preemptive!$B$53:$AF$53</c:f>
              <c:strCache/>
            </c:strRef>
          </c:cat>
          <c:val>
            <c:numRef>
              <c:f>Preemptive!$C$60:$AF$60</c:f>
              <c:numCache/>
            </c:numRef>
          </c:val>
          <c:smooth val="0"/>
        </c:ser>
        <c:axId val="8051471"/>
        <c:axId val="32166068"/>
        <c:axId val="60400741"/>
      </c:line3DChart>
      <c:catAx>
        <c:axId val="8051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WIP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2166068"/>
        <c:crosses val="autoZero"/>
        <c:auto val="1"/>
        <c:lblOffset val="100"/>
        <c:noMultiLvlLbl val="0"/>
      </c:catAx>
      <c:valAx>
        <c:axId val="321660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8051471"/>
        <c:crossesAt val="1"/>
        <c:crossBetween val="between"/>
        <c:dispUnits/>
      </c:valAx>
      <c:serAx>
        <c:axId val="60400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16606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75"/>
          <c:y val="0.488"/>
          <c:w val="0.09375"/>
          <c:h val="0.143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228600</xdr:colOff>
      <xdr:row>60</xdr:row>
      <xdr:rowOff>104775</xdr:rowOff>
    </xdr:from>
    <xdr:to>
      <xdr:col>23</xdr:col>
      <xdr:colOff>247650</xdr:colOff>
      <xdr:row>81</xdr:row>
      <xdr:rowOff>123825</xdr:rowOff>
    </xdr:to>
    <xdr:graphicFrame>
      <xdr:nvGraphicFramePr>
        <xdr:cNvPr id="1" name="Chart 1"/>
        <xdr:cNvGraphicFramePr/>
      </xdr:nvGraphicFramePr>
      <xdr:xfrm>
        <a:off x="9906000" y="11953875"/>
        <a:ext cx="53054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60</xdr:row>
      <xdr:rowOff>57150</xdr:rowOff>
    </xdr:from>
    <xdr:to>
      <xdr:col>14</xdr:col>
      <xdr:colOff>590550</xdr:colOff>
      <xdr:row>81</xdr:row>
      <xdr:rowOff>123825</xdr:rowOff>
    </xdr:to>
    <xdr:graphicFrame>
      <xdr:nvGraphicFramePr>
        <xdr:cNvPr id="2" name="Chart 2"/>
        <xdr:cNvGraphicFramePr/>
      </xdr:nvGraphicFramePr>
      <xdr:xfrm>
        <a:off x="4352925" y="11906250"/>
        <a:ext cx="52101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zoomScale="85" zoomScaleNormal="85" workbookViewId="0" topLeftCell="B49">
      <selection activeCell="J76" sqref="B1:J76"/>
    </sheetView>
  </sheetViews>
  <sheetFormatPr defaultColWidth="9.140625" defaultRowHeight="12.75"/>
  <cols>
    <col min="1" max="1" width="3.140625" style="0" bestFit="1" customWidth="1"/>
    <col min="2" max="2" width="26.57421875" style="0" bestFit="1" customWidth="1"/>
    <col min="3" max="3" width="11.57421875" style="0" customWidth="1"/>
    <col min="4" max="4" width="11.7109375" style="0" customWidth="1"/>
    <col min="5" max="5" width="11.00390625" style="0" customWidth="1"/>
    <col min="6" max="6" width="10.57421875" style="0" customWidth="1"/>
    <col min="8" max="8" width="10.00390625" style="0" bestFit="1" customWidth="1"/>
    <col min="10" max="10" width="12.8515625" style="0" customWidth="1"/>
    <col min="11" max="11" width="10.00390625" style="0" bestFit="1" customWidth="1"/>
  </cols>
  <sheetData>
    <row r="1" ht="12.75">
      <c r="B1" t="s">
        <v>0</v>
      </c>
    </row>
    <row r="3" spans="3:8" ht="12.75">
      <c r="C3" s="15" t="s">
        <v>34</v>
      </c>
      <c r="D3" s="16">
        <v>2000</v>
      </c>
      <c r="E3" s="19" t="s">
        <v>32</v>
      </c>
      <c r="F3" s="21">
        <v>0.5</v>
      </c>
      <c r="G3" s="4" t="s">
        <v>36</v>
      </c>
      <c r="H3" s="22"/>
    </row>
    <row r="4" spans="3:8" ht="12.75">
      <c r="C4" s="19" t="s">
        <v>31</v>
      </c>
      <c r="D4" s="20">
        <v>1400</v>
      </c>
      <c r="E4" s="19" t="s">
        <v>40</v>
      </c>
      <c r="F4" s="20">
        <v>19.5</v>
      </c>
      <c r="G4" s="15" t="s">
        <v>38</v>
      </c>
      <c r="H4" s="16">
        <v>2</v>
      </c>
    </row>
    <row r="5" spans="3:8" ht="12.75">
      <c r="C5" s="17" t="s">
        <v>33</v>
      </c>
      <c r="D5" s="18">
        <v>2</v>
      </c>
      <c r="E5" s="19" t="s">
        <v>46</v>
      </c>
      <c r="F5" s="26">
        <v>47600</v>
      </c>
      <c r="G5" s="19" t="s">
        <v>39</v>
      </c>
      <c r="H5" s="20">
        <v>20</v>
      </c>
    </row>
    <row r="6" spans="3:8" ht="12.75">
      <c r="C6" s="17" t="s">
        <v>35</v>
      </c>
      <c r="D6" s="18">
        <v>34</v>
      </c>
      <c r="E6" s="13"/>
      <c r="F6" s="14"/>
      <c r="G6" s="17" t="s">
        <v>37</v>
      </c>
      <c r="H6" s="18">
        <v>200</v>
      </c>
    </row>
    <row r="7" spans="4:9" ht="12.75">
      <c r="D7" s="23"/>
      <c r="E7" s="14"/>
      <c r="F7" s="13"/>
      <c r="G7" s="14"/>
      <c r="H7" s="23"/>
      <c r="I7" s="14"/>
    </row>
    <row r="8" spans="4:9" ht="12.75">
      <c r="D8" s="23"/>
      <c r="E8" s="14"/>
      <c r="F8" s="13"/>
      <c r="G8" s="14"/>
      <c r="H8" s="23"/>
      <c r="I8" s="14"/>
    </row>
    <row r="9" spans="4:9" ht="12.75">
      <c r="D9" s="23"/>
      <c r="E9" s="14"/>
      <c r="F9" s="13"/>
      <c r="G9" s="14"/>
      <c r="H9" s="23"/>
      <c r="I9" s="14"/>
    </row>
    <row r="10" spans="4:9" ht="12.75">
      <c r="D10" s="23"/>
      <c r="E10" s="14"/>
      <c r="F10" s="13"/>
      <c r="G10" s="14"/>
      <c r="H10" s="23"/>
      <c r="I10" s="14"/>
    </row>
    <row r="11" spans="11:12" ht="12.75">
      <c r="K11" s="5"/>
      <c r="L11" s="5"/>
    </row>
    <row r="12" spans="2:12" s="1" customFormat="1" ht="26.25" customHeight="1">
      <c r="B12" s="2" t="s">
        <v>1</v>
      </c>
      <c r="C12" s="2" t="s">
        <v>14</v>
      </c>
      <c r="D12" s="2" t="s">
        <v>22</v>
      </c>
      <c r="E12" s="2" t="s">
        <v>20</v>
      </c>
      <c r="F12" s="2" t="s">
        <v>15</v>
      </c>
      <c r="G12" s="2" t="s">
        <v>16</v>
      </c>
      <c r="H12" s="2" t="s">
        <v>17</v>
      </c>
      <c r="I12" s="2" t="s">
        <v>18</v>
      </c>
      <c r="J12" s="2" t="s">
        <v>19</v>
      </c>
      <c r="L12" s="6"/>
    </row>
    <row r="13" spans="1:12" ht="12.75">
      <c r="A13" s="3">
        <v>1</v>
      </c>
      <c r="B13" s="3" t="s">
        <v>2</v>
      </c>
      <c r="C13" s="7">
        <v>3</v>
      </c>
      <c r="D13" s="7">
        <v>94</v>
      </c>
      <c r="E13" s="8">
        <v>0.8</v>
      </c>
      <c r="F13" s="7">
        <v>57</v>
      </c>
      <c r="G13" s="7">
        <v>3</v>
      </c>
      <c r="H13" s="7">
        <v>300</v>
      </c>
      <c r="I13" s="7">
        <v>0.5</v>
      </c>
      <c r="J13" s="7">
        <v>0</v>
      </c>
      <c r="L13" s="5"/>
    </row>
    <row r="14" spans="1:12" ht="12.75">
      <c r="A14" s="3">
        <v>2</v>
      </c>
      <c r="B14" s="3" t="s">
        <v>3</v>
      </c>
      <c r="C14" s="7">
        <v>1</v>
      </c>
      <c r="D14" s="7">
        <v>883</v>
      </c>
      <c r="E14" s="8">
        <v>0.98</v>
      </c>
      <c r="F14" s="7">
        <v>72</v>
      </c>
      <c r="G14" s="7">
        <v>3</v>
      </c>
      <c r="H14" s="7">
        <v>60</v>
      </c>
      <c r="I14" s="7">
        <v>0.25</v>
      </c>
      <c r="J14" s="7">
        <v>0.16</v>
      </c>
      <c r="L14" s="5"/>
    </row>
    <row r="15" spans="1:12" ht="12.75">
      <c r="A15" s="3">
        <v>3</v>
      </c>
      <c r="B15" s="3" t="s">
        <v>4</v>
      </c>
      <c r="C15" s="7">
        <v>2</v>
      </c>
      <c r="D15" s="7">
        <v>94</v>
      </c>
      <c r="E15" s="8">
        <v>0.95</v>
      </c>
      <c r="F15" s="7">
        <v>351</v>
      </c>
      <c r="G15" s="7">
        <v>3</v>
      </c>
      <c r="H15" s="7">
        <v>120</v>
      </c>
      <c r="I15" s="7">
        <v>0.75</v>
      </c>
      <c r="J15" s="7">
        <v>1.5</v>
      </c>
      <c r="L15" s="5"/>
    </row>
    <row r="16" spans="1:12" ht="12.75">
      <c r="A16" s="3">
        <v>4</v>
      </c>
      <c r="B16" s="3" t="s">
        <v>5</v>
      </c>
      <c r="C16" s="7">
        <v>2</v>
      </c>
      <c r="D16" s="7">
        <v>105.7</v>
      </c>
      <c r="E16" s="8">
        <v>0.95</v>
      </c>
      <c r="F16" s="7">
        <v>1</v>
      </c>
      <c r="G16" s="7">
        <v>0</v>
      </c>
      <c r="H16" s="7">
        <v>60</v>
      </c>
      <c r="I16" s="7">
        <v>0.2</v>
      </c>
      <c r="J16" s="7">
        <v>0.16</v>
      </c>
      <c r="L16" s="5"/>
    </row>
    <row r="17" spans="1:12" ht="12.75">
      <c r="A17" s="3">
        <v>5</v>
      </c>
      <c r="B17" s="3" t="s">
        <v>6</v>
      </c>
      <c r="C17" s="7">
        <v>2</v>
      </c>
      <c r="D17" s="7">
        <v>156</v>
      </c>
      <c r="E17" s="8">
        <v>0.8</v>
      </c>
      <c r="F17" s="7">
        <v>57</v>
      </c>
      <c r="G17" s="7">
        <v>3</v>
      </c>
      <c r="H17" s="7">
        <v>120</v>
      </c>
      <c r="I17" s="7">
        <v>0.5</v>
      </c>
      <c r="J17" s="7">
        <v>0.5</v>
      </c>
      <c r="L17" s="5"/>
    </row>
    <row r="18" spans="1:12" ht="12.75">
      <c r="A18" s="3">
        <v>6</v>
      </c>
      <c r="B18" s="3" t="s">
        <v>7</v>
      </c>
      <c r="C18" s="7">
        <v>3</v>
      </c>
      <c r="D18" s="7">
        <v>70</v>
      </c>
      <c r="E18" s="8">
        <v>0.9</v>
      </c>
      <c r="F18" s="7">
        <v>351</v>
      </c>
      <c r="G18" s="7">
        <v>3</v>
      </c>
      <c r="H18" s="7">
        <v>120</v>
      </c>
      <c r="I18" s="7">
        <v>0.33</v>
      </c>
      <c r="J18" s="7">
        <v>2</v>
      </c>
      <c r="L18" s="5"/>
    </row>
    <row r="19" spans="1:12" ht="12.75">
      <c r="A19" s="3">
        <v>7</v>
      </c>
      <c r="B19" s="3" t="s">
        <v>8</v>
      </c>
      <c r="C19" s="7">
        <v>2</v>
      </c>
      <c r="D19" s="7">
        <v>105.7</v>
      </c>
      <c r="E19" s="8">
        <v>0.95</v>
      </c>
      <c r="F19" s="7">
        <v>1</v>
      </c>
      <c r="G19" s="7">
        <v>0</v>
      </c>
      <c r="H19" s="7">
        <v>60</v>
      </c>
      <c r="I19" s="7">
        <v>0.2</v>
      </c>
      <c r="J19" s="7">
        <v>0.16</v>
      </c>
      <c r="L19" s="5"/>
    </row>
    <row r="20" spans="1:12" ht="12.75">
      <c r="A20" s="3">
        <v>8</v>
      </c>
      <c r="B20" s="3" t="s">
        <v>9</v>
      </c>
      <c r="C20" s="7">
        <v>31</v>
      </c>
      <c r="D20" s="7">
        <v>8.2</v>
      </c>
      <c r="E20" s="8">
        <v>0.81</v>
      </c>
      <c r="F20" s="7">
        <v>232</v>
      </c>
      <c r="G20" s="7">
        <v>9.6</v>
      </c>
      <c r="H20" s="7">
        <v>60</v>
      </c>
      <c r="I20" s="7">
        <v>0.6</v>
      </c>
      <c r="J20" s="7">
        <v>0.16</v>
      </c>
      <c r="L20" s="5"/>
    </row>
    <row r="21" spans="1:12" ht="12.75">
      <c r="A21" s="3">
        <v>9</v>
      </c>
      <c r="B21" s="3" t="s">
        <v>10</v>
      </c>
      <c r="C21" s="7">
        <v>2</v>
      </c>
      <c r="D21" s="7">
        <v>90</v>
      </c>
      <c r="E21" s="8">
        <v>0.9</v>
      </c>
      <c r="F21" s="7">
        <v>16</v>
      </c>
      <c r="G21" s="7">
        <v>3</v>
      </c>
      <c r="H21" s="7">
        <v>60</v>
      </c>
      <c r="I21" s="7">
        <v>0</v>
      </c>
      <c r="J21" s="7">
        <v>0.16</v>
      </c>
      <c r="L21" s="5"/>
    </row>
    <row r="22" spans="1:12" ht="12.75">
      <c r="A22" s="3">
        <v>10</v>
      </c>
      <c r="B22" s="3" t="s">
        <v>11</v>
      </c>
      <c r="C22" s="7">
        <v>4</v>
      </c>
      <c r="D22" s="7">
        <v>48.1</v>
      </c>
      <c r="E22" s="8">
        <v>0.8</v>
      </c>
      <c r="F22" s="7">
        <v>40</v>
      </c>
      <c r="G22" s="7">
        <v>4</v>
      </c>
      <c r="H22" s="7">
        <v>60</v>
      </c>
      <c r="I22" s="7">
        <v>0.33</v>
      </c>
      <c r="J22" s="7">
        <v>2.1</v>
      </c>
      <c r="L22" s="5"/>
    </row>
    <row r="23" spans="1:12" ht="12.75">
      <c r="A23" s="3">
        <v>11</v>
      </c>
      <c r="B23" s="3" t="s">
        <v>12</v>
      </c>
      <c r="C23" s="7">
        <v>2</v>
      </c>
      <c r="D23" s="7">
        <v>157.4</v>
      </c>
      <c r="E23" s="8">
        <v>0.85</v>
      </c>
      <c r="F23" s="7">
        <v>1</v>
      </c>
      <c r="G23" s="7">
        <v>0</v>
      </c>
      <c r="H23" s="7">
        <v>60</v>
      </c>
      <c r="I23" s="7">
        <v>0.5</v>
      </c>
      <c r="J23" s="7">
        <v>0.16</v>
      </c>
      <c r="L23" s="5"/>
    </row>
    <row r="24" spans="1:12" ht="12.75">
      <c r="A24" s="3">
        <v>12</v>
      </c>
      <c r="B24" s="3" t="s">
        <v>13</v>
      </c>
      <c r="C24" s="7">
        <v>1</v>
      </c>
      <c r="D24" s="7">
        <v>243</v>
      </c>
      <c r="E24" s="8">
        <v>0.98</v>
      </c>
      <c r="F24" s="7">
        <v>200</v>
      </c>
      <c r="G24" s="7">
        <v>1.6</v>
      </c>
      <c r="H24" s="7">
        <v>60</v>
      </c>
      <c r="I24" s="7">
        <v>0.1</v>
      </c>
      <c r="J24" s="7">
        <v>0.16</v>
      </c>
      <c r="L24" s="5"/>
    </row>
    <row r="25" spans="1:12" ht="12.75">
      <c r="A25" s="5"/>
      <c r="B25" s="5" t="s">
        <v>30</v>
      </c>
      <c r="C25" s="10"/>
      <c r="D25" s="10"/>
      <c r="E25" s="11"/>
      <c r="F25" s="10"/>
      <c r="G25" s="10"/>
      <c r="H25" s="10">
        <f>SUM(H13:H24)</f>
        <v>1140</v>
      </c>
      <c r="I25" s="10"/>
      <c r="J25" s="10"/>
      <c r="L25" s="5"/>
    </row>
    <row r="26" spans="2:11" ht="12.75">
      <c r="B26" t="s">
        <v>24</v>
      </c>
      <c r="K26" s="5"/>
    </row>
    <row r="28" spans="2:10" s="1" customFormat="1" ht="26.25" customHeight="1">
      <c r="B28" s="2" t="s">
        <v>1</v>
      </c>
      <c r="C28" s="2" t="s">
        <v>29</v>
      </c>
      <c r="D28" s="2" t="s">
        <v>26</v>
      </c>
      <c r="E28" s="2" t="s">
        <v>23</v>
      </c>
      <c r="F28" s="2" t="s">
        <v>27</v>
      </c>
      <c r="G28" s="2" t="s">
        <v>28</v>
      </c>
      <c r="H28" s="2" t="s">
        <v>25</v>
      </c>
      <c r="I28" s="2" t="s">
        <v>21</v>
      </c>
      <c r="J28" s="2"/>
    </row>
    <row r="29" spans="1:10" ht="12.75">
      <c r="A29" s="3">
        <v>1</v>
      </c>
      <c r="B29" s="4" t="s">
        <v>2</v>
      </c>
      <c r="C29" s="9">
        <f>1/D13</f>
        <v>0.010638297872340425</v>
      </c>
      <c r="D29" s="7">
        <f aca="true" t="shared" si="0" ref="D29:D40">D13*C13</f>
        <v>282</v>
      </c>
      <c r="E29" s="9">
        <f aca="true" t="shared" si="1" ref="E29:E40">1/D29</f>
        <v>0.0035460992907801418</v>
      </c>
      <c r="F29" s="7">
        <f aca="true" t="shared" si="2" ref="F29:F40">D13*E13</f>
        <v>75.2</v>
      </c>
      <c r="G29" s="9">
        <f aca="true" t="shared" si="3" ref="G29:G40">1/F29</f>
        <v>0.013297872340425532</v>
      </c>
      <c r="H29" s="7">
        <f aca="true" t="shared" si="4" ref="H29:H40">D29*E13</f>
        <v>225.60000000000002</v>
      </c>
      <c r="I29" s="9">
        <f>1/H29</f>
        <v>0.004432624113475177</v>
      </c>
      <c r="J29" s="7"/>
    </row>
    <row r="30" spans="1:11" ht="12.75">
      <c r="A30" s="3">
        <v>2</v>
      </c>
      <c r="B30" s="4" t="s">
        <v>3</v>
      </c>
      <c r="C30" s="9">
        <f aca="true" t="shared" si="5" ref="C30:C40">1/D14</f>
        <v>0.0011325028312570782</v>
      </c>
      <c r="D30" s="7">
        <f t="shared" si="0"/>
        <v>883</v>
      </c>
      <c r="E30" s="9">
        <f t="shared" si="1"/>
        <v>0.0011325028312570782</v>
      </c>
      <c r="F30" s="7">
        <f t="shared" si="2"/>
        <v>865.34</v>
      </c>
      <c r="G30" s="9">
        <f t="shared" si="3"/>
        <v>0.001155615133935794</v>
      </c>
      <c r="H30" s="7">
        <f t="shared" si="4"/>
        <v>865.34</v>
      </c>
      <c r="I30" s="9">
        <f aca="true" t="shared" si="6" ref="I30:I40">1/H30</f>
        <v>0.001155615133935794</v>
      </c>
      <c r="J30" s="7"/>
      <c r="K30" s="5"/>
    </row>
    <row r="31" spans="1:11" ht="12.75">
      <c r="A31" s="3">
        <v>3</v>
      </c>
      <c r="B31" s="4" t="s">
        <v>4</v>
      </c>
      <c r="C31" s="9">
        <f t="shared" si="5"/>
        <v>0.010638297872340425</v>
      </c>
      <c r="D31" s="7">
        <f t="shared" si="0"/>
        <v>188</v>
      </c>
      <c r="E31" s="9">
        <f t="shared" si="1"/>
        <v>0.005319148936170213</v>
      </c>
      <c r="F31" s="7">
        <f t="shared" si="2"/>
        <v>89.3</v>
      </c>
      <c r="G31" s="9">
        <f t="shared" si="3"/>
        <v>0.011198208286674132</v>
      </c>
      <c r="H31" s="7">
        <f t="shared" si="4"/>
        <v>178.6</v>
      </c>
      <c r="I31" s="9">
        <f t="shared" si="6"/>
        <v>0.005599104143337066</v>
      </c>
      <c r="J31" s="7"/>
      <c r="K31" s="5"/>
    </row>
    <row r="32" spans="1:11" ht="12.75">
      <c r="A32" s="3">
        <v>4</v>
      </c>
      <c r="B32" s="4" t="s">
        <v>5</v>
      </c>
      <c r="C32" s="9">
        <f t="shared" si="5"/>
        <v>0.00946073793755913</v>
      </c>
      <c r="D32" s="7">
        <f t="shared" si="0"/>
        <v>211.4</v>
      </c>
      <c r="E32" s="9">
        <f t="shared" si="1"/>
        <v>0.004730368968779565</v>
      </c>
      <c r="F32" s="7">
        <f t="shared" si="2"/>
        <v>100.41499999999999</v>
      </c>
      <c r="G32" s="9">
        <f t="shared" si="3"/>
        <v>0.009958671513220137</v>
      </c>
      <c r="H32" s="7">
        <f t="shared" si="4"/>
        <v>200.82999999999998</v>
      </c>
      <c r="I32" s="9">
        <f t="shared" si="6"/>
        <v>0.0049793357566100685</v>
      </c>
      <c r="J32" s="7"/>
      <c r="K32" s="5"/>
    </row>
    <row r="33" spans="1:11" ht="12.75">
      <c r="A33" s="3">
        <v>5</v>
      </c>
      <c r="B33" s="4" t="s">
        <v>6</v>
      </c>
      <c r="C33" s="9">
        <f t="shared" si="5"/>
        <v>0.00641025641025641</v>
      </c>
      <c r="D33" s="7">
        <f t="shared" si="0"/>
        <v>312</v>
      </c>
      <c r="E33" s="9">
        <f t="shared" si="1"/>
        <v>0.003205128205128205</v>
      </c>
      <c r="F33" s="7">
        <f t="shared" si="2"/>
        <v>124.80000000000001</v>
      </c>
      <c r="G33" s="9">
        <f t="shared" si="3"/>
        <v>0.008012820512820512</v>
      </c>
      <c r="H33" s="7">
        <f t="shared" si="4"/>
        <v>249.60000000000002</v>
      </c>
      <c r="I33" s="9">
        <f t="shared" si="6"/>
        <v>0.004006410256410256</v>
      </c>
      <c r="J33" s="7"/>
      <c r="K33" s="5"/>
    </row>
    <row r="34" spans="1:11" ht="12.75">
      <c r="A34" s="3">
        <v>6</v>
      </c>
      <c r="B34" s="4" t="s">
        <v>7</v>
      </c>
      <c r="C34" s="9">
        <f t="shared" si="5"/>
        <v>0.014285714285714285</v>
      </c>
      <c r="D34" s="7">
        <f t="shared" si="0"/>
        <v>210</v>
      </c>
      <c r="E34" s="9">
        <f t="shared" si="1"/>
        <v>0.004761904761904762</v>
      </c>
      <c r="F34" s="7">
        <f t="shared" si="2"/>
        <v>63</v>
      </c>
      <c r="G34" s="9">
        <f t="shared" si="3"/>
        <v>0.015873015873015872</v>
      </c>
      <c r="H34" s="7">
        <f t="shared" si="4"/>
        <v>189</v>
      </c>
      <c r="I34" s="9">
        <f t="shared" si="6"/>
        <v>0.005291005291005291</v>
      </c>
      <c r="J34" s="7"/>
      <c r="K34" s="5"/>
    </row>
    <row r="35" spans="1:11" ht="12.75">
      <c r="A35" s="3">
        <v>7</v>
      </c>
      <c r="B35" s="4" t="s">
        <v>8</v>
      </c>
      <c r="C35" s="9">
        <f t="shared" si="5"/>
        <v>0.00946073793755913</v>
      </c>
      <c r="D35" s="7">
        <f t="shared" si="0"/>
        <v>211.4</v>
      </c>
      <c r="E35" s="9">
        <f t="shared" si="1"/>
        <v>0.004730368968779565</v>
      </c>
      <c r="F35" s="7">
        <f t="shared" si="2"/>
        <v>100.41499999999999</v>
      </c>
      <c r="G35" s="9">
        <f t="shared" si="3"/>
        <v>0.009958671513220137</v>
      </c>
      <c r="H35" s="7">
        <f t="shared" si="4"/>
        <v>200.82999999999998</v>
      </c>
      <c r="I35" s="9">
        <f t="shared" si="6"/>
        <v>0.0049793357566100685</v>
      </c>
      <c r="J35" s="7"/>
      <c r="K35" s="5"/>
    </row>
    <row r="36" spans="1:11" ht="12.75">
      <c r="A36" s="3">
        <v>8</v>
      </c>
      <c r="B36" s="4" t="s">
        <v>9</v>
      </c>
      <c r="C36" s="9">
        <f t="shared" si="5"/>
        <v>0.12195121951219513</v>
      </c>
      <c r="D36" s="7">
        <f t="shared" si="0"/>
        <v>254.2</v>
      </c>
      <c r="E36" s="9">
        <f t="shared" si="1"/>
        <v>0.003933910306845004</v>
      </c>
      <c r="F36" s="7">
        <f t="shared" si="2"/>
        <v>6.6419999999999995</v>
      </c>
      <c r="G36" s="9">
        <f t="shared" si="3"/>
        <v>0.15055706112616682</v>
      </c>
      <c r="H36" s="7">
        <f t="shared" si="4"/>
        <v>205.90200000000002</v>
      </c>
      <c r="I36" s="9">
        <f t="shared" si="6"/>
        <v>0.004856679391166671</v>
      </c>
      <c r="J36" s="7"/>
      <c r="K36" s="5"/>
    </row>
    <row r="37" spans="1:11" ht="12.75">
      <c r="A37" s="3">
        <v>9</v>
      </c>
      <c r="B37" s="4" t="s">
        <v>10</v>
      </c>
      <c r="C37" s="9">
        <f t="shared" si="5"/>
        <v>0.011111111111111112</v>
      </c>
      <c r="D37" s="7">
        <f t="shared" si="0"/>
        <v>180</v>
      </c>
      <c r="E37" s="9">
        <f t="shared" si="1"/>
        <v>0.005555555555555556</v>
      </c>
      <c r="F37" s="7">
        <f t="shared" si="2"/>
        <v>81</v>
      </c>
      <c r="G37" s="9">
        <f t="shared" si="3"/>
        <v>0.012345679012345678</v>
      </c>
      <c r="H37" s="7">
        <f t="shared" si="4"/>
        <v>162</v>
      </c>
      <c r="I37" s="9">
        <f t="shared" si="6"/>
        <v>0.006172839506172839</v>
      </c>
      <c r="J37" s="7"/>
      <c r="K37" s="5"/>
    </row>
    <row r="38" spans="1:11" ht="12.75">
      <c r="A38" s="3">
        <v>10</v>
      </c>
      <c r="B38" s="4" t="s">
        <v>11</v>
      </c>
      <c r="C38" s="9">
        <f t="shared" si="5"/>
        <v>0.020790020790020788</v>
      </c>
      <c r="D38" s="7">
        <f t="shared" si="0"/>
        <v>192.4</v>
      </c>
      <c r="E38" s="9">
        <f t="shared" si="1"/>
        <v>0.005197505197505197</v>
      </c>
      <c r="F38" s="7">
        <f t="shared" si="2"/>
        <v>38.480000000000004</v>
      </c>
      <c r="G38" s="9">
        <f t="shared" si="3"/>
        <v>0.025987525987525985</v>
      </c>
      <c r="H38" s="7">
        <f t="shared" si="4"/>
        <v>153.92000000000002</v>
      </c>
      <c r="I38" s="9">
        <f t="shared" si="6"/>
        <v>0.006496881496881496</v>
      </c>
      <c r="J38" s="7"/>
      <c r="K38" s="5"/>
    </row>
    <row r="39" spans="1:11" ht="12.75">
      <c r="A39" s="3">
        <v>11</v>
      </c>
      <c r="B39" s="4" t="s">
        <v>12</v>
      </c>
      <c r="C39" s="9">
        <f t="shared" si="5"/>
        <v>0.0063532401524777635</v>
      </c>
      <c r="D39" s="7">
        <f t="shared" si="0"/>
        <v>314.8</v>
      </c>
      <c r="E39" s="9">
        <f t="shared" si="1"/>
        <v>0.0031766200762388818</v>
      </c>
      <c r="F39" s="7">
        <f t="shared" si="2"/>
        <v>133.79</v>
      </c>
      <c r="G39" s="9">
        <f t="shared" si="3"/>
        <v>0.007474400179385604</v>
      </c>
      <c r="H39" s="7">
        <f t="shared" si="4"/>
        <v>267.58</v>
      </c>
      <c r="I39" s="9">
        <f t="shared" si="6"/>
        <v>0.003737200089692802</v>
      </c>
      <c r="J39" s="7"/>
      <c r="K39" s="5"/>
    </row>
    <row r="40" spans="1:11" ht="12.75">
      <c r="A40" s="3">
        <v>12</v>
      </c>
      <c r="B40" s="4" t="s">
        <v>13</v>
      </c>
      <c r="C40" s="9">
        <f t="shared" si="5"/>
        <v>0.00411522633744856</v>
      </c>
      <c r="D40" s="7">
        <f t="shared" si="0"/>
        <v>243</v>
      </c>
      <c r="E40" s="9">
        <f t="shared" si="1"/>
        <v>0.00411522633744856</v>
      </c>
      <c r="F40" s="7">
        <f t="shared" si="2"/>
        <v>238.14</v>
      </c>
      <c r="G40" s="9">
        <f t="shared" si="3"/>
        <v>0.004199210548416898</v>
      </c>
      <c r="H40" s="7">
        <f t="shared" si="4"/>
        <v>238.14</v>
      </c>
      <c r="I40" s="9">
        <f t="shared" si="6"/>
        <v>0.004199210548416898</v>
      </c>
      <c r="J40" s="7"/>
      <c r="K40" s="5"/>
    </row>
    <row r="41" spans="1:11" ht="12.75">
      <c r="A41" s="5"/>
      <c r="B41" s="5" t="s">
        <v>30</v>
      </c>
      <c r="C41" s="12">
        <f>SUM(C29:C40)</f>
        <v>0.22634736305028022</v>
      </c>
      <c r="D41" s="10"/>
      <c r="E41" s="12">
        <f>SUM(E29:E40)</f>
        <v>0.04940433943639273</v>
      </c>
      <c r="F41" s="10"/>
      <c r="G41" s="12">
        <f>SUM(G29:G40)</f>
        <v>0.2700187520271531</v>
      </c>
      <c r="H41" s="10"/>
      <c r="I41" s="12"/>
      <c r="J41" s="10"/>
      <c r="K41" s="5"/>
    </row>
    <row r="42" ht="12.75">
      <c r="B42" t="s">
        <v>24</v>
      </c>
    </row>
    <row r="44" ht="12.75">
      <c r="B44" t="s">
        <v>41</v>
      </c>
    </row>
    <row r="45" spans="1:10" ht="25.5">
      <c r="A45" s="1"/>
      <c r="B45" s="2" t="s">
        <v>1</v>
      </c>
      <c r="C45" s="2" t="s">
        <v>17</v>
      </c>
      <c r="D45" s="2" t="s">
        <v>43</v>
      </c>
      <c r="E45" s="2" t="s">
        <v>42</v>
      </c>
      <c r="F45" s="2" t="s">
        <v>44</v>
      </c>
      <c r="G45" s="2" t="s">
        <v>45</v>
      </c>
      <c r="H45" s="2"/>
      <c r="I45" s="2"/>
      <c r="J45" s="2"/>
    </row>
    <row r="46" spans="1:10" ht="12.75">
      <c r="A46" s="3">
        <v>1</v>
      </c>
      <c r="B46" s="3" t="s">
        <v>2</v>
      </c>
      <c r="C46" s="7">
        <v>300</v>
      </c>
      <c r="D46" s="24">
        <f>D13/C46</f>
        <v>0.31333333333333335</v>
      </c>
      <c r="E46" s="24">
        <f>F29/C46</f>
        <v>0.25066666666666665</v>
      </c>
      <c r="F46" s="24">
        <f>1/D46</f>
        <v>3.1914893617021276</v>
      </c>
      <c r="G46" s="24">
        <f>1/E46</f>
        <v>3.9893617021276597</v>
      </c>
      <c r="H46" s="7"/>
      <c r="I46" s="7"/>
      <c r="J46" s="7"/>
    </row>
    <row r="47" spans="1:10" ht="12.75">
      <c r="A47" s="3">
        <v>2</v>
      </c>
      <c r="B47" s="3" t="s">
        <v>3</v>
      </c>
      <c r="C47" s="7">
        <v>60</v>
      </c>
      <c r="D47" s="24">
        <f aca="true" t="shared" si="7" ref="D47:D57">D14/C47</f>
        <v>14.716666666666667</v>
      </c>
      <c r="E47" s="24">
        <f aca="true" t="shared" si="8" ref="E47:E57">F30/C47</f>
        <v>14.422333333333334</v>
      </c>
      <c r="F47" s="24">
        <f aca="true" t="shared" si="9" ref="F47:F57">1/D47</f>
        <v>0.06795016987542468</v>
      </c>
      <c r="G47" s="24">
        <f aca="true" t="shared" si="10" ref="G47:G57">1/E47</f>
        <v>0.06933690803614764</v>
      </c>
      <c r="H47" s="7"/>
      <c r="I47" s="7"/>
      <c r="J47" s="7"/>
    </row>
    <row r="48" spans="1:10" ht="12.75">
      <c r="A48" s="3">
        <v>3</v>
      </c>
      <c r="B48" s="3" t="s">
        <v>4</v>
      </c>
      <c r="C48" s="7">
        <v>120</v>
      </c>
      <c r="D48" s="24">
        <f t="shared" si="7"/>
        <v>0.7833333333333333</v>
      </c>
      <c r="E48" s="24">
        <f t="shared" si="8"/>
        <v>0.7441666666666666</v>
      </c>
      <c r="F48" s="24">
        <f t="shared" si="9"/>
        <v>1.2765957446808511</v>
      </c>
      <c r="G48" s="24">
        <f t="shared" si="10"/>
        <v>1.343784994400896</v>
      </c>
      <c r="H48" s="7"/>
      <c r="I48" s="7"/>
      <c r="J48" s="7"/>
    </row>
    <row r="49" spans="1:10" ht="12.75">
      <c r="A49" s="3">
        <v>4</v>
      </c>
      <c r="B49" s="3" t="s">
        <v>5</v>
      </c>
      <c r="C49" s="7">
        <v>60</v>
      </c>
      <c r="D49" s="24">
        <f t="shared" si="7"/>
        <v>1.7616666666666667</v>
      </c>
      <c r="E49" s="24">
        <f t="shared" si="8"/>
        <v>1.6735833333333332</v>
      </c>
      <c r="F49" s="24">
        <f t="shared" si="9"/>
        <v>0.5676442762535477</v>
      </c>
      <c r="G49" s="24">
        <f t="shared" si="10"/>
        <v>0.5975202907932082</v>
      </c>
      <c r="H49" s="7"/>
      <c r="I49" s="7"/>
      <c r="J49" s="7"/>
    </row>
    <row r="50" spans="1:10" ht="12.75">
      <c r="A50" s="3">
        <v>5</v>
      </c>
      <c r="B50" s="3" t="s">
        <v>6</v>
      </c>
      <c r="C50" s="7">
        <v>120</v>
      </c>
      <c r="D50" s="24">
        <f t="shared" si="7"/>
        <v>1.3</v>
      </c>
      <c r="E50" s="24">
        <f t="shared" si="8"/>
        <v>1.04</v>
      </c>
      <c r="F50" s="24">
        <f t="shared" si="9"/>
        <v>0.7692307692307692</v>
      </c>
      <c r="G50" s="24">
        <f t="shared" si="10"/>
        <v>0.9615384615384615</v>
      </c>
      <c r="H50" s="7"/>
      <c r="I50" s="7"/>
      <c r="J50" s="7"/>
    </row>
    <row r="51" spans="1:10" ht="12.75">
      <c r="A51" s="3">
        <v>6</v>
      </c>
      <c r="B51" s="3" t="s">
        <v>7</v>
      </c>
      <c r="C51" s="7">
        <v>120</v>
      </c>
      <c r="D51" s="24">
        <f t="shared" si="7"/>
        <v>0.5833333333333334</v>
      </c>
      <c r="E51" s="24">
        <f t="shared" si="8"/>
        <v>0.525</v>
      </c>
      <c r="F51" s="24">
        <f t="shared" si="9"/>
        <v>1.7142857142857142</v>
      </c>
      <c r="G51" s="24">
        <f t="shared" si="10"/>
        <v>1.9047619047619047</v>
      </c>
      <c r="H51" s="7"/>
      <c r="I51" s="7"/>
      <c r="J51" s="7"/>
    </row>
    <row r="52" spans="1:10" ht="12.75">
      <c r="A52" s="3">
        <v>7</v>
      </c>
      <c r="B52" s="3" t="s">
        <v>8</v>
      </c>
      <c r="C52" s="7">
        <v>60</v>
      </c>
      <c r="D52" s="24">
        <f t="shared" si="7"/>
        <v>1.7616666666666667</v>
      </c>
      <c r="E52" s="24">
        <f t="shared" si="8"/>
        <v>1.6735833333333332</v>
      </c>
      <c r="F52" s="24">
        <f t="shared" si="9"/>
        <v>0.5676442762535477</v>
      </c>
      <c r="G52" s="24">
        <f t="shared" si="10"/>
        <v>0.5975202907932082</v>
      </c>
      <c r="H52" s="7"/>
      <c r="I52" s="7"/>
      <c r="J52" s="7"/>
    </row>
    <row r="53" spans="1:10" ht="12.75">
      <c r="A53" s="3">
        <v>8</v>
      </c>
      <c r="B53" s="3" t="s">
        <v>9</v>
      </c>
      <c r="C53" s="7">
        <v>60</v>
      </c>
      <c r="D53" s="24">
        <f t="shared" si="7"/>
        <v>0.13666666666666666</v>
      </c>
      <c r="E53" s="24">
        <f t="shared" si="8"/>
        <v>0.11069999999999999</v>
      </c>
      <c r="F53" s="24">
        <f t="shared" si="9"/>
        <v>7.317073170731708</v>
      </c>
      <c r="G53" s="24">
        <f t="shared" si="10"/>
        <v>9.033423667570009</v>
      </c>
      <c r="H53" s="7"/>
      <c r="I53" s="7"/>
      <c r="J53" s="7"/>
    </row>
    <row r="54" spans="1:10" ht="12.75">
      <c r="A54" s="3">
        <v>9</v>
      </c>
      <c r="B54" s="3" t="s">
        <v>10</v>
      </c>
      <c r="C54" s="7">
        <v>60</v>
      </c>
      <c r="D54" s="24">
        <f t="shared" si="7"/>
        <v>1.5</v>
      </c>
      <c r="E54" s="24">
        <f t="shared" si="8"/>
        <v>1.35</v>
      </c>
      <c r="F54" s="24">
        <f t="shared" si="9"/>
        <v>0.6666666666666666</v>
      </c>
      <c r="G54" s="24">
        <f t="shared" si="10"/>
        <v>0.7407407407407407</v>
      </c>
      <c r="H54" s="7"/>
      <c r="I54" s="7"/>
      <c r="J54" s="7"/>
    </row>
    <row r="55" spans="1:10" ht="12.75">
      <c r="A55" s="3">
        <v>10</v>
      </c>
      <c r="B55" s="3" t="s">
        <v>11</v>
      </c>
      <c r="C55" s="7">
        <v>60</v>
      </c>
      <c r="D55" s="24">
        <f t="shared" si="7"/>
        <v>0.8016666666666666</v>
      </c>
      <c r="E55" s="24">
        <f t="shared" si="8"/>
        <v>0.6413333333333334</v>
      </c>
      <c r="F55" s="24">
        <f t="shared" si="9"/>
        <v>1.2474012474012475</v>
      </c>
      <c r="G55" s="24">
        <f t="shared" si="10"/>
        <v>1.559251559251559</v>
      </c>
      <c r="H55" s="7"/>
      <c r="I55" s="7"/>
      <c r="J55" s="7"/>
    </row>
    <row r="56" spans="1:10" ht="12.75">
      <c r="A56" s="3">
        <v>11</v>
      </c>
      <c r="B56" s="3" t="s">
        <v>12</v>
      </c>
      <c r="C56" s="7">
        <v>60</v>
      </c>
      <c r="D56" s="24">
        <f t="shared" si="7"/>
        <v>2.6233333333333335</v>
      </c>
      <c r="E56" s="24">
        <f t="shared" si="8"/>
        <v>2.229833333333333</v>
      </c>
      <c r="F56" s="24">
        <f t="shared" si="9"/>
        <v>0.3811944091486658</v>
      </c>
      <c r="G56" s="24">
        <f t="shared" si="10"/>
        <v>0.4484640107631363</v>
      </c>
      <c r="H56" s="7"/>
      <c r="I56" s="7"/>
      <c r="J56" s="7"/>
    </row>
    <row r="57" spans="1:10" ht="12.75">
      <c r="A57" s="3">
        <v>12</v>
      </c>
      <c r="B57" s="3" t="s">
        <v>13</v>
      </c>
      <c r="C57" s="7">
        <v>60</v>
      </c>
      <c r="D57" s="24">
        <f t="shared" si="7"/>
        <v>4.05</v>
      </c>
      <c r="E57" s="24">
        <f t="shared" si="8"/>
        <v>3.969</v>
      </c>
      <c r="F57" s="24">
        <f t="shared" si="9"/>
        <v>0.2469135802469136</v>
      </c>
      <c r="G57" s="24">
        <f t="shared" si="10"/>
        <v>0.25195263290501385</v>
      </c>
      <c r="H57" s="7"/>
      <c r="I57" s="7"/>
      <c r="J57" s="7"/>
    </row>
    <row r="58" spans="1:10" ht="12.75">
      <c r="A58" s="5"/>
      <c r="B58" s="5" t="s">
        <v>30</v>
      </c>
      <c r="C58" s="10">
        <f>SUM(C46:C57)</f>
        <v>1140</v>
      </c>
      <c r="D58" s="10"/>
      <c r="E58" s="11"/>
      <c r="F58" s="25">
        <f>SUM(F46:F57)</f>
        <v>18.014089386477185</v>
      </c>
      <c r="G58" s="25">
        <f>SUM(G46:G57)</f>
        <v>21.497657163681946</v>
      </c>
      <c r="H58" s="10"/>
      <c r="I58" s="10"/>
      <c r="J58" s="10"/>
    </row>
    <row r="59" ht="12.75">
      <c r="B59" t="s">
        <v>24</v>
      </c>
    </row>
    <row r="61" spans="2:3" ht="12.75">
      <c r="B61" s="19" t="s">
        <v>53</v>
      </c>
      <c r="C61" s="20">
        <v>47600</v>
      </c>
    </row>
    <row r="62" spans="1:10" ht="12.75">
      <c r="A62" s="1"/>
      <c r="B62" s="2" t="s">
        <v>1</v>
      </c>
      <c r="C62" s="2" t="s">
        <v>50</v>
      </c>
      <c r="D62" s="2" t="s">
        <v>51</v>
      </c>
      <c r="E62" s="2" t="s">
        <v>52</v>
      </c>
      <c r="F62" s="2" t="s">
        <v>48</v>
      </c>
      <c r="G62" s="2" t="s">
        <v>47</v>
      </c>
      <c r="H62" s="2" t="s">
        <v>49</v>
      </c>
      <c r="I62" s="2" t="s">
        <v>55</v>
      </c>
      <c r="J62" s="2"/>
    </row>
    <row r="63" spans="1:10" ht="12.75">
      <c r="A63" s="3">
        <v>1</v>
      </c>
      <c r="B63" s="3" t="s">
        <v>2</v>
      </c>
      <c r="C63" s="28">
        <v>1400</v>
      </c>
      <c r="D63" s="28">
        <v>2000</v>
      </c>
      <c r="E63" s="28">
        <v>3000</v>
      </c>
      <c r="F63" s="29">
        <f>C63*G29</f>
        <v>18.617021276595747</v>
      </c>
      <c r="G63" s="24">
        <f>C63*C29</f>
        <v>14.893617021276595</v>
      </c>
      <c r="H63" s="29">
        <f>E63*G29</f>
        <v>39.8936170212766</v>
      </c>
      <c r="I63" s="24">
        <f aca="true" t="shared" si="11" ref="I63:I75">E63*C29</f>
        <v>31.914893617021274</v>
      </c>
      <c r="J63" s="7"/>
    </row>
    <row r="64" spans="1:10" ht="12.75">
      <c r="A64" s="3">
        <v>2</v>
      </c>
      <c r="B64" s="3" t="s">
        <v>3</v>
      </c>
      <c r="C64" s="28">
        <v>1400</v>
      </c>
      <c r="D64" s="28">
        <v>2000</v>
      </c>
      <c r="E64" s="28">
        <v>3000</v>
      </c>
      <c r="F64" s="29">
        <f aca="true" t="shared" si="12" ref="F64:F75">C64*G30</f>
        <v>1.6178611875101114</v>
      </c>
      <c r="G64" s="24">
        <f aca="true" t="shared" si="13" ref="G64:G75">C64*C30</f>
        <v>1.5855039637599095</v>
      </c>
      <c r="H64" s="29">
        <f aca="true" t="shared" si="14" ref="H64:H75">E64*G30</f>
        <v>3.4668454018073818</v>
      </c>
      <c r="I64" s="24">
        <f t="shared" si="11"/>
        <v>3.3975084937712348</v>
      </c>
      <c r="J64" s="7"/>
    </row>
    <row r="65" spans="1:10" ht="12.75">
      <c r="A65" s="3">
        <v>3</v>
      </c>
      <c r="B65" s="3" t="s">
        <v>4</v>
      </c>
      <c r="C65" s="28">
        <v>1400</v>
      </c>
      <c r="D65" s="28">
        <v>2000</v>
      </c>
      <c r="E65" s="28">
        <v>3000</v>
      </c>
      <c r="F65" s="29">
        <f t="shared" si="12"/>
        <v>15.677491601343785</v>
      </c>
      <c r="G65" s="24">
        <f t="shared" si="13"/>
        <v>14.893617021276595</v>
      </c>
      <c r="H65" s="29">
        <f t="shared" si="14"/>
        <v>33.59462486002239</v>
      </c>
      <c r="I65" s="24">
        <f t="shared" si="11"/>
        <v>31.914893617021274</v>
      </c>
      <c r="J65" s="7"/>
    </row>
    <row r="66" spans="1:10" ht="12.75">
      <c r="A66" s="3">
        <v>4</v>
      </c>
      <c r="B66" s="3" t="s">
        <v>5</v>
      </c>
      <c r="C66" s="28">
        <v>1400</v>
      </c>
      <c r="D66" s="28">
        <v>2000</v>
      </c>
      <c r="E66" s="28">
        <v>3000</v>
      </c>
      <c r="F66" s="29">
        <f t="shared" si="12"/>
        <v>13.942140118508192</v>
      </c>
      <c r="G66" s="24">
        <f t="shared" si="13"/>
        <v>13.245033112582782</v>
      </c>
      <c r="H66" s="29">
        <f t="shared" si="14"/>
        <v>29.87601453966041</v>
      </c>
      <c r="I66" s="24">
        <f t="shared" si="11"/>
        <v>28.38221381267739</v>
      </c>
      <c r="J66" s="7"/>
    </row>
    <row r="67" spans="1:10" ht="12.75">
      <c r="A67" s="3">
        <v>5</v>
      </c>
      <c r="B67" s="3" t="s">
        <v>6</v>
      </c>
      <c r="C67" s="28">
        <v>1400</v>
      </c>
      <c r="D67" s="28">
        <v>2000</v>
      </c>
      <c r="E67" s="28">
        <v>3000</v>
      </c>
      <c r="F67" s="29">
        <f t="shared" si="12"/>
        <v>11.217948717948717</v>
      </c>
      <c r="G67" s="24">
        <f t="shared" si="13"/>
        <v>8.974358974358974</v>
      </c>
      <c r="H67" s="29">
        <f t="shared" si="14"/>
        <v>24.038461538461537</v>
      </c>
      <c r="I67" s="24">
        <f t="shared" si="11"/>
        <v>19.23076923076923</v>
      </c>
      <c r="J67" s="7"/>
    </row>
    <row r="68" spans="1:10" ht="12.75">
      <c r="A68" s="3">
        <v>6</v>
      </c>
      <c r="B68" s="3" t="s">
        <v>7</v>
      </c>
      <c r="C68" s="28">
        <v>1400</v>
      </c>
      <c r="D68" s="28">
        <v>2000</v>
      </c>
      <c r="E68" s="28">
        <v>3000</v>
      </c>
      <c r="F68" s="29">
        <f t="shared" si="12"/>
        <v>22.22222222222222</v>
      </c>
      <c r="G68" s="24">
        <f t="shared" si="13"/>
        <v>20</v>
      </c>
      <c r="H68" s="29">
        <f t="shared" si="14"/>
        <v>47.61904761904761</v>
      </c>
      <c r="I68" s="24">
        <f t="shared" si="11"/>
        <v>42.857142857142854</v>
      </c>
      <c r="J68" s="7"/>
    </row>
    <row r="69" spans="1:10" ht="12.75">
      <c r="A69" s="3">
        <v>7</v>
      </c>
      <c r="B69" s="3" t="s">
        <v>8</v>
      </c>
      <c r="C69" s="28">
        <v>1400</v>
      </c>
      <c r="D69" s="28">
        <v>2000</v>
      </c>
      <c r="E69" s="28">
        <v>3000</v>
      </c>
      <c r="F69" s="29">
        <f t="shared" si="12"/>
        <v>13.942140118508192</v>
      </c>
      <c r="G69" s="24">
        <f t="shared" si="13"/>
        <v>13.245033112582782</v>
      </c>
      <c r="H69" s="29">
        <f t="shared" si="14"/>
        <v>29.87601453966041</v>
      </c>
      <c r="I69" s="24">
        <f t="shared" si="11"/>
        <v>28.38221381267739</v>
      </c>
      <c r="J69" s="7"/>
    </row>
    <row r="70" spans="1:10" ht="12.75">
      <c r="A70" s="3">
        <v>8</v>
      </c>
      <c r="B70" s="3" t="s">
        <v>9</v>
      </c>
      <c r="C70" s="28">
        <v>1400</v>
      </c>
      <c r="D70" s="28">
        <v>2000</v>
      </c>
      <c r="E70" s="28">
        <v>3000</v>
      </c>
      <c r="F70" s="29">
        <f t="shared" si="12"/>
        <v>210.77988557663355</v>
      </c>
      <c r="G70" s="24">
        <f t="shared" si="13"/>
        <v>170.7317073170732</v>
      </c>
      <c r="H70" s="29">
        <f t="shared" si="14"/>
        <v>451.6711833785005</v>
      </c>
      <c r="I70" s="24">
        <f t="shared" si="11"/>
        <v>365.8536585365854</v>
      </c>
      <c r="J70" s="7"/>
    </row>
    <row r="71" spans="1:10" ht="12.75">
      <c r="A71" s="3">
        <v>9</v>
      </c>
      <c r="B71" s="3" t="s">
        <v>10</v>
      </c>
      <c r="C71" s="28">
        <v>1400</v>
      </c>
      <c r="D71" s="28">
        <v>2000</v>
      </c>
      <c r="E71" s="28">
        <v>3000</v>
      </c>
      <c r="F71" s="29">
        <f t="shared" si="12"/>
        <v>17.28395061728395</v>
      </c>
      <c r="G71" s="24">
        <f t="shared" si="13"/>
        <v>15.555555555555555</v>
      </c>
      <c r="H71" s="29">
        <f t="shared" si="14"/>
        <v>37.03703703703704</v>
      </c>
      <c r="I71" s="24">
        <f t="shared" si="11"/>
        <v>33.333333333333336</v>
      </c>
      <c r="J71" s="7"/>
    </row>
    <row r="72" spans="1:10" ht="12.75">
      <c r="A72" s="3">
        <v>10</v>
      </c>
      <c r="B72" s="3" t="s">
        <v>11</v>
      </c>
      <c r="C72" s="28">
        <v>1400</v>
      </c>
      <c r="D72" s="28">
        <v>2000</v>
      </c>
      <c r="E72" s="28">
        <v>3000</v>
      </c>
      <c r="F72" s="29">
        <f t="shared" si="12"/>
        <v>36.38253638253638</v>
      </c>
      <c r="G72" s="24">
        <f t="shared" si="13"/>
        <v>29.1060291060291</v>
      </c>
      <c r="H72" s="29">
        <f t="shared" si="14"/>
        <v>77.96257796257795</v>
      </c>
      <c r="I72" s="24">
        <f t="shared" si="11"/>
        <v>62.370062370062364</v>
      </c>
      <c r="J72" s="7"/>
    </row>
    <row r="73" spans="1:10" ht="12.75">
      <c r="A73" s="3">
        <v>11</v>
      </c>
      <c r="B73" s="3" t="s">
        <v>12</v>
      </c>
      <c r="C73" s="28">
        <v>1400</v>
      </c>
      <c r="D73" s="28">
        <v>2000</v>
      </c>
      <c r="E73" s="28">
        <v>3000</v>
      </c>
      <c r="F73" s="29">
        <f t="shared" si="12"/>
        <v>10.464160251139846</v>
      </c>
      <c r="G73" s="24">
        <f t="shared" si="13"/>
        <v>8.89453621346887</v>
      </c>
      <c r="H73" s="29">
        <f t="shared" si="14"/>
        <v>22.423200538156813</v>
      </c>
      <c r="I73" s="24">
        <f t="shared" si="11"/>
        <v>19.05972045743329</v>
      </c>
      <c r="J73" s="7"/>
    </row>
    <row r="74" spans="1:10" ht="12.75">
      <c r="A74" s="3">
        <v>12</v>
      </c>
      <c r="B74" s="3" t="s">
        <v>13</v>
      </c>
      <c r="C74" s="28">
        <v>1400</v>
      </c>
      <c r="D74" s="28">
        <v>2000</v>
      </c>
      <c r="E74" s="28">
        <v>3000</v>
      </c>
      <c r="F74" s="29">
        <f t="shared" si="12"/>
        <v>5.878894767783657</v>
      </c>
      <c r="G74" s="24">
        <f t="shared" si="13"/>
        <v>5.761316872427984</v>
      </c>
      <c r="H74" s="29">
        <f t="shared" si="14"/>
        <v>12.597631645250694</v>
      </c>
      <c r="I74" s="24">
        <f t="shared" si="11"/>
        <v>12.34567901234568</v>
      </c>
      <c r="J74" s="7"/>
    </row>
    <row r="75" spans="1:9" ht="12.75">
      <c r="A75" s="5"/>
      <c r="B75" s="5" t="s">
        <v>30</v>
      </c>
      <c r="C75" s="27">
        <v>1400</v>
      </c>
      <c r="D75" s="27">
        <v>2000</v>
      </c>
      <c r="E75" s="27">
        <v>3000</v>
      </c>
      <c r="F75" s="30">
        <f t="shared" si="12"/>
        <v>378.02625283801433</v>
      </c>
      <c r="G75" s="25">
        <f t="shared" si="13"/>
        <v>316.8863082703923</v>
      </c>
      <c r="H75" s="30">
        <f t="shared" si="14"/>
        <v>810.0562560814593</v>
      </c>
      <c r="I75" s="25">
        <f t="shared" si="11"/>
        <v>679.0420891508406</v>
      </c>
    </row>
    <row r="76" ht="12.75">
      <c r="B76" t="s">
        <v>54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zoomScale="85" zoomScaleNormal="85" workbookViewId="0" topLeftCell="A11">
      <pane xSplit="1" ySplit="2" topLeftCell="B13" activePane="bottomRight" state="frozen"/>
      <selection pane="topLeft" activeCell="A10" sqref="A10"/>
      <selection pane="topRight" activeCell="B11" sqref="B11"/>
      <selection pane="bottomLeft" activeCell="A19" sqref="A19"/>
      <selection pane="bottomRight" activeCell="B48" sqref="A1:IV16384"/>
    </sheetView>
  </sheetViews>
  <sheetFormatPr defaultColWidth="9.140625" defaultRowHeight="12.75"/>
  <cols>
    <col min="1" max="1" width="13.00390625" style="0" customWidth="1"/>
    <col min="2" max="2" width="9.7109375" style="0" customWidth="1"/>
    <col min="3" max="3" width="8.140625" style="0" customWidth="1"/>
    <col min="4" max="4" width="8.28125" style="0" customWidth="1"/>
    <col min="5" max="5" width="15.140625" style="0" customWidth="1"/>
    <col min="6" max="6" width="11.28125" style="0" customWidth="1"/>
    <col min="7" max="7" width="8.7109375" style="0" customWidth="1"/>
    <col min="8" max="8" width="11.7109375" style="0" customWidth="1"/>
    <col min="9" max="9" width="7.8515625" style="0" customWidth="1"/>
    <col min="10" max="10" width="7.421875" style="0" customWidth="1"/>
    <col min="11" max="11" width="7.7109375" style="0" customWidth="1"/>
    <col min="12" max="12" width="7.8515625" style="0" customWidth="1"/>
    <col min="13" max="14" width="8.140625" style="0" customWidth="1"/>
  </cols>
  <sheetData>
    <row r="1" ht="12.75">
      <c r="A1" t="s">
        <v>0</v>
      </c>
    </row>
    <row r="2" spans="3:8" ht="12.75">
      <c r="C2" s="15" t="s">
        <v>34</v>
      </c>
      <c r="D2" s="16">
        <v>2000</v>
      </c>
      <c r="E2" s="19" t="s">
        <v>32</v>
      </c>
      <c r="F2" s="21">
        <v>0.5</v>
      </c>
      <c r="G2" s="4" t="s">
        <v>36</v>
      </c>
      <c r="H2" s="22"/>
    </row>
    <row r="3" spans="3:8" ht="12.75">
      <c r="C3" s="19" t="s">
        <v>31</v>
      </c>
      <c r="D3" s="20">
        <v>1400</v>
      </c>
      <c r="E3" s="19" t="s">
        <v>40</v>
      </c>
      <c r="F3" s="20">
        <v>19.5</v>
      </c>
      <c r="G3" s="15" t="s">
        <v>38</v>
      </c>
      <c r="H3" s="16">
        <v>2</v>
      </c>
    </row>
    <row r="4" spans="3:8" ht="12.75">
      <c r="C4" s="17" t="s">
        <v>33</v>
      </c>
      <c r="D4" s="18">
        <v>2</v>
      </c>
      <c r="E4" s="19" t="s">
        <v>46</v>
      </c>
      <c r="F4" s="26">
        <v>47600</v>
      </c>
      <c r="G4" s="19" t="s">
        <v>39</v>
      </c>
      <c r="H4" s="20">
        <v>20</v>
      </c>
    </row>
    <row r="5" spans="3:8" ht="12.75">
      <c r="C5" s="17" t="s">
        <v>35</v>
      </c>
      <c r="D5" s="18">
        <v>34</v>
      </c>
      <c r="E5" s="13"/>
      <c r="F5" s="14"/>
      <c r="G5" s="17" t="s">
        <v>37</v>
      </c>
      <c r="H5" s="18">
        <v>200</v>
      </c>
    </row>
    <row r="11" ht="12.75">
      <c r="B11" s="31" t="s">
        <v>1</v>
      </c>
    </row>
    <row r="12" spans="2:15" s="1" customFormat="1" ht="39" customHeight="1">
      <c r="B12" s="2" t="s">
        <v>2</v>
      </c>
      <c r="C12" s="2" t="s">
        <v>3</v>
      </c>
      <c r="D12" s="2" t="s">
        <v>4</v>
      </c>
      <c r="E12" s="2" t="s">
        <v>5</v>
      </c>
      <c r="F12" s="2" t="s">
        <v>6</v>
      </c>
      <c r="G12" s="2" t="s">
        <v>7</v>
      </c>
      <c r="H12" s="2" t="s">
        <v>8</v>
      </c>
      <c r="I12" s="2" t="s">
        <v>9</v>
      </c>
      <c r="J12" s="2" t="s">
        <v>10</v>
      </c>
      <c r="K12" s="2" t="s">
        <v>11</v>
      </c>
      <c r="L12" s="2" t="s">
        <v>12</v>
      </c>
      <c r="M12" s="2" t="s">
        <v>13</v>
      </c>
      <c r="N12" s="2" t="s">
        <v>30</v>
      </c>
      <c r="O12" s="1" t="s">
        <v>24</v>
      </c>
    </row>
    <row r="13" spans="1:14" ht="14.25" customHeight="1">
      <c r="A13" s="2" t="s">
        <v>14</v>
      </c>
      <c r="B13" s="7">
        <v>3</v>
      </c>
      <c r="C13" s="7">
        <v>1</v>
      </c>
      <c r="D13" s="7">
        <v>2</v>
      </c>
      <c r="E13" s="7">
        <v>2</v>
      </c>
      <c r="F13" s="7">
        <v>2</v>
      </c>
      <c r="G13" s="7">
        <v>3</v>
      </c>
      <c r="H13" s="7">
        <v>2</v>
      </c>
      <c r="I13" s="7">
        <v>31</v>
      </c>
      <c r="J13" s="7">
        <v>2</v>
      </c>
      <c r="K13" s="7">
        <v>4</v>
      </c>
      <c r="L13" s="7">
        <v>2</v>
      </c>
      <c r="M13" s="7">
        <v>1</v>
      </c>
      <c r="N13" s="7"/>
    </row>
    <row r="14" spans="1:14" ht="25.5" customHeight="1">
      <c r="A14" s="2" t="s">
        <v>22</v>
      </c>
      <c r="B14" s="7">
        <v>94</v>
      </c>
      <c r="C14" s="7">
        <v>883</v>
      </c>
      <c r="D14" s="7">
        <v>94</v>
      </c>
      <c r="E14" s="7">
        <v>105.7</v>
      </c>
      <c r="F14" s="7">
        <v>156</v>
      </c>
      <c r="G14" s="7">
        <v>70</v>
      </c>
      <c r="H14" s="7">
        <v>105.7</v>
      </c>
      <c r="I14" s="7">
        <v>8.2</v>
      </c>
      <c r="J14" s="7">
        <v>90</v>
      </c>
      <c r="K14" s="7">
        <v>48.1</v>
      </c>
      <c r="L14" s="7">
        <v>157.4</v>
      </c>
      <c r="M14" s="7">
        <v>243</v>
      </c>
      <c r="N14" s="7"/>
    </row>
    <row r="15" spans="1:14" ht="15" customHeight="1">
      <c r="A15" s="2" t="s">
        <v>56</v>
      </c>
      <c r="B15" s="8">
        <v>0.8</v>
      </c>
      <c r="C15" s="8">
        <v>0.98</v>
      </c>
      <c r="D15" s="8">
        <v>0.95</v>
      </c>
      <c r="E15" s="8">
        <v>0.95</v>
      </c>
      <c r="F15" s="8">
        <v>0.8</v>
      </c>
      <c r="G15" s="8">
        <v>0.9</v>
      </c>
      <c r="H15" s="8">
        <v>0.95</v>
      </c>
      <c r="I15" s="8">
        <v>0.81</v>
      </c>
      <c r="J15" s="8">
        <v>0.9</v>
      </c>
      <c r="K15" s="8">
        <v>0.8</v>
      </c>
      <c r="L15" s="8">
        <v>0.85</v>
      </c>
      <c r="M15" s="8">
        <v>0.98</v>
      </c>
      <c r="N15" s="8"/>
    </row>
    <row r="16" spans="1:14" ht="15" customHeight="1">
      <c r="A16" s="2" t="s">
        <v>15</v>
      </c>
      <c r="B16" s="7">
        <v>57</v>
      </c>
      <c r="C16" s="7">
        <v>72</v>
      </c>
      <c r="D16" s="7">
        <v>351</v>
      </c>
      <c r="E16" s="7">
        <v>1</v>
      </c>
      <c r="F16" s="7">
        <v>57</v>
      </c>
      <c r="G16" s="7">
        <v>351</v>
      </c>
      <c r="H16" s="7">
        <v>1</v>
      </c>
      <c r="I16" s="7">
        <v>232</v>
      </c>
      <c r="J16" s="7">
        <v>16</v>
      </c>
      <c r="K16" s="7">
        <v>40</v>
      </c>
      <c r="L16" s="7">
        <v>1</v>
      </c>
      <c r="M16" s="7">
        <v>200</v>
      </c>
      <c r="N16" s="7"/>
    </row>
    <row r="17" spans="1:14" ht="15" customHeight="1">
      <c r="A17" s="2" t="s">
        <v>16</v>
      </c>
      <c r="B17" s="7">
        <v>3</v>
      </c>
      <c r="C17" s="7">
        <v>3</v>
      </c>
      <c r="D17" s="7">
        <v>3</v>
      </c>
      <c r="E17" s="7">
        <v>0</v>
      </c>
      <c r="F17" s="7">
        <v>3</v>
      </c>
      <c r="G17" s="7">
        <v>3</v>
      </c>
      <c r="H17" s="7">
        <v>0</v>
      </c>
      <c r="I17" s="7">
        <v>9.6</v>
      </c>
      <c r="J17" s="7">
        <v>3</v>
      </c>
      <c r="K17" s="7">
        <v>4</v>
      </c>
      <c r="L17" s="7">
        <v>0</v>
      </c>
      <c r="M17" s="7">
        <v>1.6</v>
      </c>
      <c r="N17" s="7"/>
    </row>
    <row r="18" spans="1:14" ht="25.5" customHeight="1">
      <c r="A18" s="2" t="s">
        <v>17</v>
      </c>
      <c r="B18" s="7">
        <v>300</v>
      </c>
      <c r="C18" s="7">
        <v>60</v>
      </c>
      <c r="D18" s="7">
        <v>120</v>
      </c>
      <c r="E18" s="7">
        <v>60</v>
      </c>
      <c r="F18" s="7">
        <v>120</v>
      </c>
      <c r="G18" s="7">
        <v>120</v>
      </c>
      <c r="H18" s="7">
        <v>60</v>
      </c>
      <c r="I18" s="7">
        <v>60</v>
      </c>
      <c r="J18" s="7">
        <v>60</v>
      </c>
      <c r="K18" s="7">
        <v>60</v>
      </c>
      <c r="L18" s="7">
        <v>60</v>
      </c>
      <c r="M18" s="7">
        <v>60</v>
      </c>
      <c r="N18" s="7">
        <f>SUM(B18:M18)</f>
        <v>1140</v>
      </c>
    </row>
    <row r="19" spans="1:14" ht="25.5" customHeight="1">
      <c r="A19" s="2" t="s">
        <v>18</v>
      </c>
      <c r="B19" s="7">
        <v>0.5</v>
      </c>
      <c r="C19" s="7">
        <v>0.25</v>
      </c>
      <c r="D19" s="7">
        <v>0.75</v>
      </c>
      <c r="E19" s="7">
        <v>0.2</v>
      </c>
      <c r="F19" s="7">
        <v>0.5</v>
      </c>
      <c r="G19" s="7">
        <v>0.33</v>
      </c>
      <c r="H19" s="7">
        <v>0.2</v>
      </c>
      <c r="I19" s="7">
        <v>0.6</v>
      </c>
      <c r="J19" s="7">
        <v>0</v>
      </c>
      <c r="K19" s="7">
        <v>0.33</v>
      </c>
      <c r="L19" s="7">
        <v>0.5</v>
      </c>
      <c r="M19" s="7">
        <v>0.1</v>
      </c>
      <c r="N19" s="7"/>
    </row>
    <row r="20" spans="1:14" ht="27" customHeight="1">
      <c r="A20" s="2" t="s">
        <v>19</v>
      </c>
      <c r="B20" s="7">
        <v>0</v>
      </c>
      <c r="C20" s="7">
        <v>0.16</v>
      </c>
      <c r="D20" s="7">
        <v>1.5</v>
      </c>
      <c r="E20" s="7">
        <v>0.16</v>
      </c>
      <c r="F20" s="7">
        <v>0.5</v>
      </c>
      <c r="G20" s="7">
        <v>2</v>
      </c>
      <c r="H20" s="7">
        <v>0.16</v>
      </c>
      <c r="I20" s="7">
        <v>0.16</v>
      </c>
      <c r="J20" s="7">
        <v>0.16</v>
      </c>
      <c r="K20" s="7">
        <v>2.1</v>
      </c>
      <c r="L20" s="7">
        <v>0.16</v>
      </c>
      <c r="M20" s="7">
        <v>0.16</v>
      </c>
      <c r="N20" s="7"/>
    </row>
    <row r="22" spans="1:14" ht="25.5">
      <c r="A22" s="2" t="s">
        <v>29</v>
      </c>
      <c r="B22" s="9">
        <f aca="true" t="shared" si="0" ref="B22:M22">1/B14</f>
        <v>0.010638297872340425</v>
      </c>
      <c r="C22" s="9">
        <f t="shared" si="0"/>
        <v>0.0011325028312570782</v>
      </c>
      <c r="D22" s="9">
        <f t="shared" si="0"/>
        <v>0.010638297872340425</v>
      </c>
      <c r="E22" s="9">
        <f t="shared" si="0"/>
        <v>0.00946073793755913</v>
      </c>
      <c r="F22" s="9">
        <f t="shared" si="0"/>
        <v>0.00641025641025641</v>
      </c>
      <c r="G22" s="9">
        <f t="shared" si="0"/>
        <v>0.014285714285714285</v>
      </c>
      <c r="H22" s="9">
        <f t="shared" si="0"/>
        <v>0.00946073793755913</v>
      </c>
      <c r="I22" s="9">
        <f t="shared" si="0"/>
        <v>0.12195121951219513</v>
      </c>
      <c r="J22" s="9">
        <f t="shared" si="0"/>
        <v>0.011111111111111112</v>
      </c>
      <c r="K22" s="9">
        <f t="shared" si="0"/>
        <v>0.020790020790020788</v>
      </c>
      <c r="L22" s="9">
        <f t="shared" si="0"/>
        <v>0.0063532401524777635</v>
      </c>
      <c r="M22" s="9">
        <f t="shared" si="0"/>
        <v>0.00411522633744856</v>
      </c>
      <c r="N22" s="9">
        <f>SUM(B22:M22)</f>
        <v>0.22634736305028022</v>
      </c>
    </row>
    <row r="23" spans="1:14" ht="25.5">
      <c r="A23" s="2" t="s">
        <v>26</v>
      </c>
      <c r="B23" s="7">
        <f aca="true" t="shared" si="1" ref="B23:M23">B14*B13</f>
        <v>282</v>
      </c>
      <c r="C23" s="7">
        <f t="shared" si="1"/>
        <v>883</v>
      </c>
      <c r="D23" s="7">
        <f t="shared" si="1"/>
        <v>188</v>
      </c>
      <c r="E23" s="7">
        <f t="shared" si="1"/>
        <v>211.4</v>
      </c>
      <c r="F23" s="7">
        <f t="shared" si="1"/>
        <v>312</v>
      </c>
      <c r="G23" s="7">
        <f t="shared" si="1"/>
        <v>210</v>
      </c>
      <c r="H23" s="7">
        <f t="shared" si="1"/>
        <v>211.4</v>
      </c>
      <c r="I23" s="7">
        <f t="shared" si="1"/>
        <v>254.2</v>
      </c>
      <c r="J23" s="7">
        <f t="shared" si="1"/>
        <v>180</v>
      </c>
      <c r="K23" s="7">
        <f t="shared" si="1"/>
        <v>192.4</v>
      </c>
      <c r="L23" s="7">
        <f t="shared" si="1"/>
        <v>314.8</v>
      </c>
      <c r="M23" s="7">
        <f t="shared" si="1"/>
        <v>243</v>
      </c>
      <c r="N23" s="7"/>
    </row>
    <row r="24" spans="1:14" ht="25.5">
      <c r="A24" s="2" t="s">
        <v>23</v>
      </c>
      <c r="B24" s="9">
        <f aca="true" t="shared" si="2" ref="B24:M24">1/B23</f>
        <v>0.0035460992907801418</v>
      </c>
      <c r="C24" s="9">
        <f t="shared" si="2"/>
        <v>0.0011325028312570782</v>
      </c>
      <c r="D24" s="9">
        <f t="shared" si="2"/>
        <v>0.005319148936170213</v>
      </c>
      <c r="E24" s="9">
        <f t="shared" si="2"/>
        <v>0.004730368968779565</v>
      </c>
      <c r="F24" s="9">
        <f t="shared" si="2"/>
        <v>0.003205128205128205</v>
      </c>
      <c r="G24" s="9">
        <f t="shared" si="2"/>
        <v>0.004761904761904762</v>
      </c>
      <c r="H24" s="9">
        <f t="shared" si="2"/>
        <v>0.004730368968779565</v>
      </c>
      <c r="I24" s="9">
        <f t="shared" si="2"/>
        <v>0.003933910306845004</v>
      </c>
      <c r="J24" s="9">
        <f t="shared" si="2"/>
        <v>0.005555555555555556</v>
      </c>
      <c r="K24" s="9">
        <f t="shared" si="2"/>
        <v>0.005197505197505197</v>
      </c>
      <c r="L24" s="9">
        <f t="shared" si="2"/>
        <v>0.0031766200762388818</v>
      </c>
      <c r="M24" s="9">
        <f t="shared" si="2"/>
        <v>0.00411522633744856</v>
      </c>
      <c r="N24" s="9">
        <f>SUM(B24:M24)</f>
        <v>0.04940433943639273</v>
      </c>
    </row>
    <row r="25" spans="1:14" ht="25.5">
      <c r="A25" s="2" t="s">
        <v>27</v>
      </c>
      <c r="B25" s="7">
        <f aca="true" t="shared" si="3" ref="B25:M25">B14*B15</f>
        <v>75.2</v>
      </c>
      <c r="C25" s="7">
        <f t="shared" si="3"/>
        <v>865.34</v>
      </c>
      <c r="D25" s="7">
        <f t="shared" si="3"/>
        <v>89.3</v>
      </c>
      <c r="E25" s="7">
        <f t="shared" si="3"/>
        <v>100.41499999999999</v>
      </c>
      <c r="F25" s="7">
        <f t="shared" si="3"/>
        <v>124.80000000000001</v>
      </c>
      <c r="G25" s="7">
        <f t="shared" si="3"/>
        <v>63</v>
      </c>
      <c r="H25" s="7">
        <f t="shared" si="3"/>
        <v>100.41499999999999</v>
      </c>
      <c r="I25" s="7">
        <f t="shared" si="3"/>
        <v>6.6419999999999995</v>
      </c>
      <c r="J25" s="7">
        <f t="shared" si="3"/>
        <v>81</v>
      </c>
      <c r="K25" s="7">
        <f t="shared" si="3"/>
        <v>38.480000000000004</v>
      </c>
      <c r="L25" s="7">
        <f t="shared" si="3"/>
        <v>133.79</v>
      </c>
      <c r="M25" s="7">
        <f t="shared" si="3"/>
        <v>238.14</v>
      </c>
      <c r="N25" s="7"/>
    </row>
    <row r="26" spans="1:14" ht="12.75">
      <c r="A26" s="2" t="s">
        <v>28</v>
      </c>
      <c r="B26" s="9">
        <f aca="true" t="shared" si="4" ref="B26:M26">1/B25</f>
        <v>0.013297872340425532</v>
      </c>
      <c r="C26" s="9">
        <f t="shared" si="4"/>
        <v>0.001155615133935794</v>
      </c>
      <c r="D26" s="9">
        <f t="shared" si="4"/>
        <v>0.011198208286674132</v>
      </c>
      <c r="E26" s="9">
        <f t="shared" si="4"/>
        <v>0.009958671513220137</v>
      </c>
      <c r="F26" s="9">
        <f t="shared" si="4"/>
        <v>0.008012820512820512</v>
      </c>
      <c r="G26" s="9">
        <f t="shared" si="4"/>
        <v>0.015873015873015872</v>
      </c>
      <c r="H26" s="9">
        <f t="shared" si="4"/>
        <v>0.009958671513220137</v>
      </c>
      <c r="I26" s="9">
        <f t="shared" si="4"/>
        <v>0.15055706112616682</v>
      </c>
      <c r="J26" s="9">
        <f t="shared" si="4"/>
        <v>0.012345679012345678</v>
      </c>
      <c r="K26" s="9">
        <f t="shared" si="4"/>
        <v>0.025987525987525985</v>
      </c>
      <c r="L26" s="9">
        <f t="shared" si="4"/>
        <v>0.007474400179385604</v>
      </c>
      <c r="M26" s="9">
        <f t="shared" si="4"/>
        <v>0.004199210548416898</v>
      </c>
      <c r="N26" s="9">
        <f>SUM(B26:M26)</f>
        <v>0.2700187520271531</v>
      </c>
    </row>
    <row r="27" spans="1:14" ht="25.5">
      <c r="A27" s="2" t="s">
        <v>25</v>
      </c>
      <c r="B27" s="7">
        <f aca="true" t="shared" si="5" ref="B27:M27">B23*B15</f>
        <v>225.60000000000002</v>
      </c>
      <c r="C27" s="7">
        <f t="shared" si="5"/>
        <v>865.34</v>
      </c>
      <c r="D27" s="7">
        <f t="shared" si="5"/>
        <v>178.6</v>
      </c>
      <c r="E27" s="7">
        <f t="shared" si="5"/>
        <v>200.82999999999998</v>
      </c>
      <c r="F27" s="7">
        <f t="shared" si="5"/>
        <v>249.60000000000002</v>
      </c>
      <c r="G27" s="7">
        <f t="shared" si="5"/>
        <v>189</v>
      </c>
      <c r="H27" s="7">
        <f t="shared" si="5"/>
        <v>200.82999999999998</v>
      </c>
      <c r="I27" s="7">
        <f t="shared" si="5"/>
        <v>205.90200000000002</v>
      </c>
      <c r="J27" s="7">
        <f t="shared" si="5"/>
        <v>162</v>
      </c>
      <c r="K27" s="7">
        <f t="shared" si="5"/>
        <v>153.92000000000002</v>
      </c>
      <c r="L27" s="7">
        <f t="shared" si="5"/>
        <v>267.58</v>
      </c>
      <c r="M27" s="7">
        <f t="shared" si="5"/>
        <v>238.14</v>
      </c>
      <c r="N27" s="7"/>
    </row>
    <row r="28" spans="1:14" ht="25.5">
      <c r="A28" s="2" t="s">
        <v>21</v>
      </c>
      <c r="B28" s="9">
        <f aca="true" t="shared" si="6" ref="B28:M28">1/B27</f>
        <v>0.004432624113475177</v>
      </c>
      <c r="C28" s="9">
        <f t="shared" si="6"/>
        <v>0.001155615133935794</v>
      </c>
      <c r="D28" s="9">
        <f t="shared" si="6"/>
        <v>0.005599104143337066</v>
      </c>
      <c r="E28" s="9">
        <f t="shared" si="6"/>
        <v>0.0049793357566100685</v>
      </c>
      <c r="F28" s="9">
        <f t="shared" si="6"/>
        <v>0.004006410256410256</v>
      </c>
      <c r="G28" s="9">
        <f t="shared" si="6"/>
        <v>0.005291005291005291</v>
      </c>
      <c r="H28" s="9">
        <f t="shared" si="6"/>
        <v>0.0049793357566100685</v>
      </c>
      <c r="I28" s="9">
        <f t="shared" si="6"/>
        <v>0.004856679391166671</v>
      </c>
      <c r="J28" s="9">
        <f t="shared" si="6"/>
        <v>0.006172839506172839</v>
      </c>
      <c r="K28" s="9">
        <f t="shared" si="6"/>
        <v>0.006496881496881496</v>
      </c>
      <c r="L28" s="9">
        <f t="shared" si="6"/>
        <v>0.003737200089692802</v>
      </c>
      <c r="M28" s="9">
        <f t="shared" si="6"/>
        <v>0.004199210548416898</v>
      </c>
      <c r="N28" s="9"/>
    </row>
    <row r="29" spans="1:14" ht="12.75">
      <c r="A29" s="2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1" spans="1:17" ht="25.5">
      <c r="A31" s="2" t="s">
        <v>17</v>
      </c>
      <c r="B31" s="7">
        <v>300</v>
      </c>
      <c r="C31" s="7">
        <v>60</v>
      </c>
      <c r="D31" s="7">
        <v>120</v>
      </c>
      <c r="E31" s="7">
        <v>60</v>
      </c>
      <c r="F31" s="7">
        <v>120</v>
      </c>
      <c r="G31" s="7">
        <v>120</v>
      </c>
      <c r="H31" s="7">
        <v>60</v>
      </c>
      <c r="I31" s="7">
        <v>60</v>
      </c>
      <c r="J31" s="7">
        <v>60</v>
      </c>
      <c r="K31" s="7">
        <v>60</v>
      </c>
      <c r="L31" s="7">
        <v>60</v>
      </c>
      <c r="M31" s="7">
        <v>60</v>
      </c>
      <c r="N31" s="7">
        <f>SUM(B31:M31)</f>
        <v>1140</v>
      </c>
      <c r="Q31" s="20">
        <v>47600</v>
      </c>
    </row>
    <row r="32" spans="1:14" ht="25.5">
      <c r="A32" s="2" t="s">
        <v>43</v>
      </c>
      <c r="B32" s="24">
        <f aca="true" t="shared" si="7" ref="B32:M32">B14/B31</f>
        <v>0.31333333333333335</v>
      </c>
      <c r="C32" s="24">
        <f t="shared" si="7"/>
        <v>14.716666666666667</v>
      </c>
      <c r="D32" s="24">
        <f t="shared" si="7"/>
        <v>0.7833333333333333</v>
      </c>
      <c r="E32" s="24">
        <f t="shared" si="7"/>
        <v>1.7616666666666667</v>
      </c>
      <c r="F32" s="24">
        <f t="shared" si="7"/>
        <v>1.3</v>
      </c>
      <c r="G32" s="24">
        <f t="shared" si="7"/>
        <v>0.5833333333333334</v>
      </c>
      <c r="H32" s="24">
        <f t="shared" si="7"/>
        <v>1.7616666666666667</v>
      </c>
      <c r="I32" s="24">
        <f t="shared" si="7"/>
        <v>0.13666666666666666</v>
      </c>
      <c r="J32" s="24">
        <f t="shared" si="7"/>
        <v>1.5</v>
      </c>
      <c r="K32" s="24">
        <f t="shared" si="7"/>
        <v>0.8016666666666666</v>
      </c>
      <c r="L32" s="24">
        <f t="shared" si="7"/>
        <v>2.6233333333333335</v>
      </c>
      <c r="M32" s="24">
        <f t="shared" si="7"/>
        <v>4.05</v>
      </c>
      <c r="N32" s="7"/>
    </row>
    <row r="33" spans="1:14" ht="25.5">
      <c r="A33" s="2" t="s">
        <v>42</v>
      </c>
      <c r="B33" s="24">
        <f aca="true" t="shared" si="8" ref="B33:M33">B25/B31</f>
        <v>0.25066666666666665</v>
      </c>
      <c r="C33" s="24">
        <f t="shared" si="8"/>
        <v>14.422333333333334</v>
      </c>
      <c r="D33" s="24">
        <f t="shared" si="8"/>
        <v>0.7441666666666666</v>
      </c>
      <c r="E33" s="24">
        <f t="shared" si="8"/>
        <v>1.6735833333333332</v>
      </c>
      <c r="F33" s="24">
        <f t="shared" si="8"/>
        <v>1.04</v>
      </c>
      <c r="G33" s="24">
        <f t="shared" si="8"/>
        <v>0.525</v>
      </c>
      <c r="H33" s="24">
        <f t="shared" si="8"/>
        <v>1.6735833333333332</v>
      </c>
      <c r="I33" s="24">
        <f t="shared" si="8"/>
        <v>0.11069999999999999</v>
      </c>
      <c r="J33" s="24">
        <f t="shared" si="8"/>
        <v>1.35</v>
      </c>
      <c r="K33" s="24">
        <f t="shared" si="8"/>
        <v>0.6413333333333334</v>
      </c>
      <c r="L33" s="24">
        <f t="shared" si="8"/>
        <v>2.229833333333333</v>
      </c>
      <c r="M33" s="24">
        <f t="shared" si="8"/>
        <v>3.969</v>
      </c>
      <c r="N33" s="8"/>
    </row>
    <row r="34" spans="1:14" ht="25.5">
      <c r="A34" s="2" t="s">
        <v>44</v>
      </c>
      <c r="B34" s="24">
        <f aca="true" t="shared" si="9" ref="B34:M34">1/B32</f>
        <v>3.1914893617021276</v>
      </c>
      <c r="C34" s="24">
        <f t="shared" si="9"/>
        <v>0.06795016987542468</v>
      </c>
      <c r="D34" s="24">
        <f t="shared" si="9"/>
        <v>1.2765957446808511</v>
      </c>
      <c r="E34" s="24">
        <f t="shared" si="9"/>
        <v>0.5676442762535477</v>
      </c>
      <c r="F34" s="24">
        <f t="shared" si="9"/>
        <v>0.7692307692307692</v>
      </c>
      <c r="G34" s="24">
        <f t="shared" si="9"/>
        <v>1.7142857142857142</v>
      </c>
      <c r="H34" s="24">
        <f t="shared" si="9"/>
        <v>0.5676442762535477</v>
      </c>
      <c r="I34" s="24">
        <f t="shared" si="9"/>
        <v>7.317073170731708</v>
      </c>
      <c r="J34" s="24">
        <f t="shared" si="9"/>
        <v>0.6666666666666666</v>
      </c>
      <c r="K34" s="24">
        <f t="shared" si="9"/>
        <v>1.2474012474012475</v>
      </c>
      <c r="L34" s="24">
        <f t="shared" si="9"/>
        <v>0.3811944091486658</v>
      </c>
      <c r="M34" s="24">
        <f t="shared" si="9"/>
        <v>0.2469135802469136</v>
      </c>
      <c r="N34" s="24">
        <f>SUM(B34:M34)</f>
        <v>18.014089386477185</v>
      </c>
    </row>
    <row r="35" spans="1:14" ht="25.5">
      <c r="A35" s="2" t="s">
        <v>45</v>
      </c>
      <c r="B35" s="24">
        <f aca="true" t="shared" si="10" ref="B35:M35">1/B33</f>
        <v>3.9893617021276597</v>
      </c>
      <c r="C35" s="24">
        <f t="shared" si="10"/>
        <v>0.06933690803614764</v>
      </c>
      <c r="D35" s="24">
        <f t="shared" si="10"/>
        <v>1.343784994400896</v>
      </c>
      <c r="E35" s="24">
        <f t="shared" si="10"/>
        <v>0.5975202907932082</v>
      </c>
      <c r="F35" s="24">
        <f t="shared" si="10"/>
        <v>0.9615384615384615</v>
      </c>
      <c r="G35" s="24">
        <f t="shared" si="10"/>
        <v>1.9047619047619047</v>
      </c>
      <c r="H35" s="24">
        <f t="shared" si="10"/>
        <v>0.5975202907932082</v>
      </c>
      <c r="I35" s="24">
        <f t="shared" si="10"/>
        <v>9.033423667570009</v>
      </c>
      <c r="J35" s="24">
        <f t="shared" si="10"/>
        <v>0.7407407407407407</v>
      </c>
      <c r="K35" s="24">
        <f t="shared" si="10"/>
        <v>1.559251559251559</v>
      </c>
      <c r="L35" s="24">
        <f t="shared" si="10"/>
        <v>0.4484640107631363</v>
      </c>
      <c r="M35" s="24">
        <f t="shared" si="10"/>
        <v>0.25195263290501385</v>
      </c>
      <c r="N35" s="24">
        <f>SUM(B35:M35)</f>
        <v>21.497657163681946</v>
      </c>
    </row>
    <row r="37" spans="1:14" ht="12.75">
      <c r="A37" s="2" t="s">
        <v>50</v>
      </c>
      <c r="B37" s="28">
        <v>1400</v>
      </c>
      <c r="C37" s="28">
        <v>1400</v>
      </c>
      <c r="D37" s="28">
        <v>1400</v>
      </c>
      <c r="E37" s="28">
        <v>1400</v>
      </c>
      <c r="F37" s="28">
        <v>1400</v>
      </c>
      <c r="G37" s="28">
        <v>1400</v>
      </c>
      <c r="H37" s="28">
        <v>1400</v>
      </c>
      <c r="I37" s="28">
        <v>1400</v>
      </c>
      <c r="J37" s="28">
        <v>1400</v>
      </c>
      <c r="K37" s="28">
        <v>1400</v>
      </c>
      <c r="L37" s="28">
        <v>1400</v>
      </c>
      <c r="M37" s="28">
        <v>1400</v>
      </c>
      <c r="N37" s="28">
        <v>1400</v>
      </c>
    </row>
    <row r="38" spans="1:14" ht="12.75">
      <c r="A38" s="2" t="s">
        <v>51</v>
      </c>
      <c r="B38" s="28">
        <v>2000</v>
      </c>
      <c r="C38" s="28">
        <v>2000</v>
      </c>
      <c r="D38" s="28">
        <v>2000</v>
      </c>
      <c r="E38" s="28">
        <v>2000</v>
      </c>
      <c r="F38" s="28">
        <v>2000</v>
      </c>
      <c r="G38" s="28">
        <v>2000</v>
      </c>
      <c r="H38" s="28">
        <v>2000</v>
      </c>
      <c r="I38" s="28">
        <v>2000</v>
      </c>
      <c r="J38" s="28">
        <v>2000</v>
      </c>
      <c r="K38" s="28">
        <v>2000</v>
      </c>
      <c r="L38" s="28">
        <v>2000</v>
      </c>
      <c r="M38" s="28">
        <v>2000</v>
      </c>
      <c r="N38" s="28">
        <v>2000</v>
      </c>
    </row>
    <row r="39" spans="1:14" ht="12.75">
      <c r="A39" s="2" t="s">
        <v>52</v>
      </c>
      <c r="B39" s="28">
        <v>3000</v>
      </c>
      <c r="C39" s="28">
        <v>3000</v>
      </c>
      <c r="D39" s="28">
        <v>3000</v>
      </c>
      <c r="E39" s="28">
        <v>3000</v>
      </c>
      <c r="F39" s="28">
        <v>3000</v>
      </c>
      <c r="G39" s="28">
        <v>3000</v>
      </c>
      <c r="H39" s="28">
        <v>3000</v>
      </c>
      <c r="I39" s="28">
        <v>3000</v>
      </c>
      <c r="J39" s="28">
        <v>3000</v>
      </c>
      <c r="K39" s="28">
        <v>3000</v>
      </c>
      <c r="L39" s="28">
        <v>3000</v>
      </c>
      <c r="M39" s="28">
        <v>3000</v>
      </c>
      <c r="N39" s="28">
        <v>3000</v>
      </c>
    </row>
    <row r="40" spans="1:14" ht="12.75">
      <c r="A40" s="2" t="s">
        <v>48</v>
      </c>
      <c r="B40" s="29">
        <f aca="true" t="shared" si="11" ref="B40:N40">B37*B26</f>
        <v>18.617021276595747</v>
      </c>
      <c r="C40" s="29">
        <f t="shared" si="11"/>
        <v>1.6178611875101114</v>
      </c>
      <c r="D40" s="29">
        <f t="shared" si="11"/>
        <v>15.677491601343785</v>
      </c>
      <c r="E40" s="29">
        <f t="shared" si="11"/>
        <v>13.942140118508192</v>
      </c>
      <c r="F40" s="29">
        <f t="shared" si="11"/>
        <v>11.217948717948717</v>
      </c>
      <c r="G40" s="29">
        <f t="shared" si="11"/>
        <v>22.22222222222222</v>
      </c>
      <c r="H40" s="29">
        <f t="shared" si="11"/>
        <v>13.942140118508192</v>
      </c>
      <c r="I40" s="29">
        <f t="shared" si="11"/>
        <v>210.77988557663355</v>
      </c>
      <c r="J40" s="29">
        <f t="shared" si="11"/>
        <v>17.28395061728395</v>
      </c>
      <c r="K40" s="29">
        <f t="shared" si="11"/>
        <v>36.38253638253638</v>
      </c>
      <c r="L40" s="29">
        <f t="shared" si="11"/>
        <v>10.464160251139846</v>
      </c>
      <c r="M40" s="29">
        <f t="shared" si="11"/>
        <v>5.878894767783657</v>
      </c>
      <c r="N40" s="29">
        <f t="shared" si="11"/>
        <v>378.02625283801433</v>
      </c>
    </row>
    <row r="41" spans="1:14" ht="12.75">
      <c r="A41" s="2" t="s">
        <v>47</v>
      </c>
      <c r="B41" s="24">
        <f aca="true" t="shared" si="12" ref="B41:N41">B37*B22</f>
        <v>14.893617021276595</v>
      </c>
      <c r="C41" s="24">
        <f t="shared" si="12"/>
        <v>1.5855039637599095</v>
      </c>
      <c r="D41" s="24">
        <f t="shared" si="12"/>
        <v>14.893617021276595</v>
      </c>
      <c r="E41" s="24">
        <f t="shared" si="12"/>
        <v>13.245033112582782</v>
      </c>
      <c r="F41" s="24">
        <f t="shared" si="12"/>
        <v>8.974358974358974</v>
      </c>
      <c r="G41" s="24">
        <f t="shared" si="12"/>
        <v>20</v>
      </c>
      <c r="H41" s="24">
        <f t="shared" si="12"/>
        <v>13.245033112582782</v>
      </c>
      <c r="I41" s="24">
        <f t="shared" si="12"/>
        <v>170.7317073170732</v>
      </c>
      <c r="J41" s="24">
        <f t="shared" si="12"/>
        <v>15.555555555555555</v>
      </c>
      <c r="K41" s="24">
        <f t="shared" si="12"/>
        <v>29.1060291060291</v>
      </c>
      <c r="L41" s="24">
        <f t="shared" si="12"/>
        <v>8.89453621346887</v>
      </c>
      <c r="M41" s="24">
        <f t="shared" si="12"/>
        <v>5.761316872427984</v>
      </c>
      <c r="N41" s="24">
        <f t="shared" si="12"/>
        <v>316.8863082703923</v>
      </c>
    </row>
    <row r="42" spans="1:14" ht="12.75">
      <c r="A42" s="2" t="s">
        <v>49</v>
      </c>
      <c r="B42" s="29">
        <f aca="true" t="shared" si="13" ref="B42:N42">B39*B26</f>
        <v>39.8936170212766</v>
      </c>
      <c r="C42" s="29">
        <f t="shared" si="13"/>
        <v>3.4668454018073818</v>
      </c>
      <c r="D42" s="29">
        <f t="shared" si="13"/>
        <v>33.59462486002239</v>
      </c>
      <c r="E42" s="29">
        <f t="shared" si="13"/>
        <v>29.87601453966041</v>
      </c>
      <c r="F42" s="29">
        <f t="shared" si="13"/>
        <v>24.038461538461537</v>
      </c>
      <c r="G42" s="29">
        <f t="shared" si="13"/>
        <v>47.61904761904761</v>
      </c>
      <c r="H42" s="29">
        <f t="shared" si="13"/>
        <v>29.87601453966041</v>
      </c>
      <c r="I42" s="29">
        <f t="shared" si="13"/>
        <v>451.6711833785005</v>
      </c>
      <c r="J42" s="29">
        <f t="shared" si="13"/>
        <v>37.03703703703704</v>
      </c>
      <c r="K42" s="29">
        <f t="shared" si="13"/>
        <v>77.96257796257795</v>
      </c>
      <c r="L42" s="29">
        <f t="shared" si="13"/>
        <v>22.423200538156813</v>
      </c>
      <c r="M42" s="29">
        <f t="shared" si="13"/>
        <v>12.597631645250694</v>
      </c>
      <c r="N42" s="29">
        <f t="shared" si="13"/>
        <v>810.0562560814593</v>
      </c>
    </row>
    <row r="43" spans="1:14" ht="12.75">
      <c r="A43" s="2" t="s">
        <v>55</v>
      </c>
      <c r="B43" s="24">
        <f aca="true" t="shared" si="14" ref="B43:N43">B39*B22</f>
        <v>31.914893617021274</v>
      </c>
      <c r="C43" s="24">
        <f t="shared" si="14"/>
        <v>3.3975084937712348</v>
      </c>
      <c r="D43" s="24">
        <f t="shared" si="14"/>
        <v>31.914893617021274</v>
      </c>
      <c r="E43" s="24">
        <f t="shared" si="14"/>
        <v>28.38221381267739</v>
      </c>
      <c r="F43" s="24">
        <f t="shared" si="14"/>
        <v>19.23076923076923</v>
      </c>
      <c r="G43" s="24">
        <f t="shared" si="14"/>
        <v>42.857142857142854</v>
      </c>
      <c r="H43" s="24">
        <f t="shared" si="14"/>
        <v>28.38221381267739</v>
      </c>
      <c r="I43" s="24">
        <f t="shared" si="14"/>
        <v>365.8536585365854</v>
      </c>
      <c r="J43" s="24">
        <f t="shared" si="14"/>
        <v>33.333333333333336</v>
      </c>
      <c r="K43" s="24">
        <f t="shared" si="14"/>
        <v>62.370062370062364</v>
      </c>
      <c r="L43" s="24">
        <f t="shared" si="14"/>
        <v>19.05972045743329</v>
      </c>
      <c r="M43" s="24">
        <f t="shared" si="14"/>
        <v>12.34567901234568</v>
      </c>
      <c r="N43" s="24">
        <f t="shared" si="14"/>
        <v>679.0420891508406</v>
      </c>
    </row>
    <row r="44" spans="1:13" ht="12.75">
      <c r="A44" s="6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6"/>
  <sheetViews>
    <sheetView zoomScale="95" zoomScaleNormal="95" workbookViewId="0" topLeftCell="A7">
      <pane xSplit="1" ySplit="2" topLeftCell="B9" activePane="bottomRight" state="frozen"/>
      <selection pane="topLeft" activeCell="A7" sqref="A7"/>
      <selection pane="topRight" activeCell="G7" sqref="G7"/>
      <selection pane="bottomLeft" activeCell="A16" sqref="A16"/>
      <selection pane="bottomRight" activeCell="B23" sqref="B23"/>
    </sheetView>
  </sheetViews>
  <sheetFormatPr defaultColWidth="9.140625" defaultRowHeight="12.75"/>
  <cols>
    <col min="1" max="1" width="13.7109375" style="0" customWidth="1"/>
    <col min="2" max="2" width="10.57421875" style="0" customWidth="1"/>
    <col min="4" max="4" width="8.28125" style="0" customWidth="1"/>
    <col min="5" max="5" width="10.00390625" style="0" customWidth="1"/>
    <col min="6" max="6" width="11.28125" style="0" customWidth="1"/>
    <col min="7" max="7" width="8.7109375" style="0" customWidth="1"/>
    <col min="8" max="8" width="11.7109375" style="0" customWidth="1"/>
    <col min="9" max="9" width="7.8515625" style="0" customWidth="1"/>
    <col min="10" max="10" width="8.00390625" style="0" customWidth="1"/>
    <col min="11" max="11" width="7.7109375" style="0" customWidth="1"/>
    <col min="12" max="12" width="8.28125" style="0" customWidth="1"/>
    <col min="13" max="13" width="8.421875" style="0" customWidth="1"/>
    <col min="14" max="14" width="8.7109375" style="0" customWidth="1"/>
    <col min="15" max="15" width="10.57421875" style="0" customWidth="1"/>
  </cols>
  <sheetData>
    <row r="1" ht="12.75">
      <c r="A1" t="s">
        <v>0</v>
      </c>
    </row>
    <row r="2" spans="3:8" ht="12.75">
      <c r="C2" s="15" t="s">
        <v>34</v>
      </c>
      <c r="D2" s="16">
        <v>2000</v>
      </c>
      <c r="E2" s="19" t="s">
        <v>32</v>
      </c>
      <c r="F2" s="21">
        <v>0.5</v>
      </c>
      <c r="G2" s="4" t="s">
        <v>36</v>
      </c>
      <c r="H2" s="22"/>
    </row>
    <row r="3" spans="3:8" ht="12.75">
      <c r="C3" s="19" t="s">
        <v>31</v>
      </c>
      <c r="D3" s="20">
        <v>1400</v>
      </c>
      <c r="E3" s="19" t="s">
        <v>40</v>
      </c>
      <c r="F3" s="20">
        <v>19.5</v>
      </c>
      <c r="G3" s="15" t="s">
        <v>38</v>
      </c>
      <c r="H3" s="16">
        <v>2</v>
      </c>
    </row>
    <row r="4" spans="3:8" ht="12.75">
      <c r="C4" s="17" t="s">
        <v>33</v>
      </c>
      <c r="D4" s="18">
        <v>2</v>
      </c>
      <c r="E4" s="19" t="s">
        <v>46</v>
      </c>
      <c r="F4" s="26">
        <v>47600</v>
      </c>
      <c r="G4" s="19" t="s">
        <v>39</v>
      </c>
      <c r="H4" s="20">
        <v>20</v>
      </c>
    </row>
    <row r="5" spans="3:8" ht="12.75">
      <c r="C5" s="17" t="s">
        <v>35</v>
      </c>
      <c r="D5" s="18">
        <v>34</v>
      </c>
      <c r="E5" s="13"/>
      <c r="F5" s="14"/>
      <c r="G5" s="17" t="s">
        <v>37</v>
      </c>
      <c r="H5" s="18">
        <v>200</v>
      </c>
    </row>
    <row r="7" ht="12.75">
      <c r="B7" s="31" t="s">
        <v>1</v>
      </c>
    </row>
    <row r="8" spans="2:16" s="1" customFormat="1" ht="39" customHeight="1"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10</v>
      </c>
      <c r="K8" s="2" t="s">
        <v>11</v>
      </c>
      <c r="L8" s="2" t="s">
        <v>12</v>
      </c>
      <c r="M8" s="2" t="s">
        <v>13</v>
      </c>
      <c r="N8" s="2" t="s">
        <v>65</v>
      </c>
      <c r="O8" s="2" t="s">
        <v>66</v>
      </c>
      <c r="P8" s="2" t="s">
        <v>24</v>
      </c>
    </row>
    <row r="9" spans="1:14" ht="14.25" customHeight="1">
      <c r="A9" s="40" t="s">
        <v>14</v>
      </c>
      <c r="B9" s="49">
        <v>3</v>
      </c>
      <c r="C9" s="49">
        <v>1</v>
      </c>
      <c r="D9" s="49">
        <v>2</v>
      </c>
      <c r="E9" s="49">
        <v>2</v>
      </c>
      <c r="F9" s="49">
        <v>2</v>
      </c>
      <c r="G9" s="49">
        <v>3</v>
      </c>
      <c r="H9" s="49">
        <v>2</v>
      </c>
      <c r="I9" s="49">
        <v>31</v>
      </c>
      <c r="J9" s="49">
        <v>2</v>
      </c>
      <c r="K9" s="49">
        <v>4</v>
      </c>
      <c r="L9" s="49">
        <v>2</v>
      </c>
      <c r="M9" s="49">
        <v>1</v>
      </c>
      <c r="N9" s="49"/>
    </row>
    <row r="10" spans="1:14" ht="25.5" customHeight="1">
      <c r="A10" s="40" t="s">
        <v>63</v>
      </c>
      <c r="B10" s="49">
        <v>94</v>
      </c>
      <c r="C10" s="49">
        <v>883</v>
      </c>
      <c r="D10" s="49">
        <v>94</v>
      </c>
      <c r="E10" s="49">
        <v>105.7</v>
      </c>
      <c r="F10" s="49">
        <v>156</v>
      </c>
      <c r="G10" s="49">
        <v>70</v>
      </c>
      <c r="H10" s="49">
        <v>105.7</v>
      </c>
      <c r="I10" s="49">
        <v>8.2</v>
      </c>
      <c r="J10" s="49">
        <v>90</v>
      </c>
      <c r="K10" s="49">
        <v>48.1</v>
      </c>
      <c r="L10" s="49">
        <v>157.4</v>
      </c>
      <c r="M10" s="49">
        <v>243</v>
      </c>
      <c r="N10" s="49"/>
    </row>
    <row r="11" spans="1:14" ht="15" customHeight="1">
      <c r="A11" s="40" t="s">
        <v>56</v>
      </c>
      <c r="B11" s="50">
        <v>0.8</v>
      </c>
      <c r="C11" s="50">
        <v>0.98</v>
      </c>
      <c r="D11" s="50">
        <v>0.95</v>
      </c>
      <c r="E11" s="50">
        <v>0.95</v>
      </c>
      <c r="F11" s="50">
        <v>0.8</v>
      </c>
      <c r="G11" s="50">
        <v>0.9</v>
      </c>
      <c r="H11" s="50">
        <v>0.95</v>
      </c>
      <c r="I11" s="50">
        <v>0.81</v>
      </c>
      <c r="J11" s="50">
        <v>0.9</v>
      </c>
      <c r="K11" s="50">
        <v>0.8</v>
      </c>
      <c r="L11" s="50">
        <v>0.85</v>
      </c>
      <c r="M11" s="50">
        <v>0.98</v>
      </c>
      <c r="N11" s="50"/>
    </row>
    <row r="12" spans="1:14" ht="15" customHeight="1">
      <c r="A12" s="40" t="s">
        <v>15</v>
      </c>
      <c r="B12" s="49">
        <v>57</v>
      </c>
      <c r="C12" s="49">
        <v>72</v>
      </c>
      <c r="D12" s="49">
        <v>351</v>
      </c>
      <c r="E12" s="49">
        <v>1</v>
      </c>
      <c r="F12" s="49">
        <v>57</v>
      </c>
      <c r="G12" s="49">
        <v>351</v>
      </c>
      <c r="H12" s="49">
        <v>1</v>
      </c>
      <c r="I12" s="49">
        <v>232</v>
      </c>
      <c r="J12" s="49">
        <v>16</v>
      </c>
      <c r="K12" s="49">
        <v>40</v>
      </c>
      <c r="L12" s="49">
        <v>1</v>
      </c>
      <c r="M12" s="49">
        <v>200</v>
      </c>
      <c r="N12" s="49"/>
    </row>
    <row r="13" spans="1:14" ht="15" customHeight="1">
      <c r="A13" s="40" t="s">
        <v>16</v>
      </c>
      <c r="B13" s="49">
        <v>3</v>
      </c>
      <c r="C13" s="49">
        <v>3</v>
      </c>
      <c r="D13" s="49">
        <v>3</v>
      </c>
      <c r="E13" s="49">
        <v>0</v>
      </c>
      <c r="F13" s="49">
        <v>3</v>
      </c>
      <c r="G13" s="49">
        <v>3</v>
      </c>
      <c r="H13" s="49">
        <v>0</v>
      </c>
      <c r="I13" s="49">
        <v>9.6</v>
      </c>
      <c r="J13" s="49">
        <v>3</v>
      </c>
      <c r="K13" s="49">
        <v>4</v>
      </c>
      <c r="L13" s="49">
        <v>0</v>
      </c>
      <c r="M13" s="49">
        <v>1.6</v>
      </c>
      <c r="N13" s="49"/>
    </row>
    <row r="14" spans="1:14" ht="25.5" customHeight="1">
      <c r="A14" s="40" t="s">
        <v>17</v>
      </c>
      <c r="B14" s="49">
        <v>300</v>
      </c>
      <c r="C14" s="49">
        <v>60</v>
      </c>
      <c r="D14" s="49">
        <v>120</v>
      </c>
      <c r="E14" s="49">
        <v>60</v>
      </c>
      <c r="F14" s="49">
        <v>120</v>
      </c>
      <c r="G14" s="49">
        <v>120</v>
      </c>
      <c r="H14" s="49">
        <v>60</v>
      </c>
      <c r="I14" s="49">
        <v>60</v>
      </c>
      <c r="J14" s="49">
        <v>60</v>
      </c>
      <c r="K14" s="49">
        <v>60</v>
      </c>
      <c r="L14" s="49">
        <v>60</v>
      </c>
      <c r="M14" s="49">
        <v>60</v>
      </c>
      <c r="N14" s="49">
        <f>SUM(B14:M14)</f>
        <v>1140</v>
      </c>
    </row>
    <row r="15" spans="1:14" ht="25.5" customHeight="1">
      <c r="A15" s="40" t="s">
        <v>18</v>
      </c>
      <c r="B15" s="49">
        <v>0.5</v>
      </c>
      <c r="C15" s="49">
        <v>0.25</v>
      </c>
      <c r="D15" s="49">
        <v>0.75</v>
      </c>
      <c r="E15" s="49">
        <v>0.2</v>
      </c>
      <c r="F15" s="49">
        <v>0.5</v>
      </c>
      <c r="G15" s="49">
        <v>0.33</v>
      </c>
      <c r="H15" s="49">
        <v>0.2</v>
      </c>
      <c r="I15" s="49">
        <v>0.6</v>
      </c>
      <c r="J15" s="49">
        <v>0</v>
      </c>
      <c r="K15" s="49">
        <v>0.33</v>
      </c>
      <c r="L15" s="49">
        <v>0.5</v>
      </c>
      <c r="M15" s="49">
        <v>0.1</v>
      </c>
      <c r="N15" s="49"/>
    </row>
    <row r="16" spans="1:14" ht="27" customHeight="1" thickBot="1">
      <c r="A16" s="51" t="s">
        <v>19</v>
      </c>
      <c r="B16" s="52">
        <v>0</v>
      </c>
      <c r="C16" s="52">
        <v>0.16</v>
      </c>
      <c r="D16" s="52">
        <v>1.5</v>
      </c>
      <c r="E16" s="52">
        <v>0.16</v>
      </c>
      <c r="F16" s="52">
        <v>0.5</v>
      </c>
      <c r="G16" s="52">
        <v>2</v>
      </c>
      <c r="H16" s="52">
        <v>0.16</v>
      </c>
      <c r="I16" s="52">
        <v>0.16</v>
      </c>
      <c r="J16" s="52">
        <v>0.16</v>
      </c>
      <c r="K16" s="52">
        <v>2.1</v>
      </c>
      <c r="L16" s="52">
        <v>0.16</v>
      </c>
      <c r="M16" s="52">
        <v>0.16</v>
      </c>
      <c r="N16" s="52"/>
    </row>
    <row r="18" spans="1:15" ht="12.75">
      <c r="A18" s="40" t="s">
        <v>57</v>
      </c>
      <c r="B18" s="53">
        <f>B12/(B12+B13)</f>
        <v>0.95</v>
      </c>
      <c r="C18" s="53">
        <f aca="true" t="shared" si="0" ref="C18:M18">C12/(C12+C13)</f>
        <v>0.96</v>
      </c>
      <c r="D18" s="53">
        <f t="shared" si="0"/>
        <v>0.9915254237288136</v>
      </c>
      <c r="E18" s="53">
        <f t="shared" si="0"/>
        <v>1</v>
      </c>
      <c r="F18" s="53">
        <f t="shared" si="0"/>
        <v>0.95</v>
      </c>
      <c r="G18" s="53">
        <f t="shared" si="0"/>
        <v>0.9915254237288136</v>
      </c>
      <c r="H18" s="53">
        <f t="shared" si="0"/>
        <v>1</v>
      </c>
      <c r="I18" s="53">
        <f t="shared" si="0"/>
        <v>0.9602649006622517</v>
      </c>
      <c r="J18" s="53">
        <f t="shared" si="0"/>
        <v>0.8421052631578947</v>
      </c>
      <c r="K18" s="53">
        <f t="shared" si="0"/>
        <v>0.9090909090909091</v>
      </c>
      <c r="L18" s="53">
        <f t="shared" si="0"/>
        <v>1</v>
      </c>
      <c r="M18" s="53">
        <f t="shared" si="0"/>
        <v>0.9920634920634921</v>
      </c>
      <c r="N18" s="54"/>
      <c r="O18" s="55"/>
    </row>
    <row r="19" spans="1:15" ht="25.5">
      <c r="A19" s="62" t="s">
        <v>82</v>
      </c>
      <c r="B19" s="53">
        <f>1/B10</f>
        <v>0.010638297872340425</v>
      </c>
      <c r="C19" s="53">
        <f aca="true" t="shared" si="1" ref="C19:M19">1/C10</f>
        <v>0.0011325028312570782</v>
      </c>
      <c r="D19" s="53">
        <f t="shared" si="1"/>
        <v>0.010638297872340425</v>
      </c>
      <c r="E19" s="53">
        <f t="shared" si="1"/>
        <v>0.00946073793755913</v>
      </c>
      <c r="F19" s="53">
        <f t="shared" si="1"/>
        <v>0.00641025641025641</v>
      </c>
      <c r="G19" s="53">
        <f t="shared" si="1"/>
        <v>0.014285714285714285</v>
      </c>
      <c r="H19" s="53">
        <f t="shared" si="1"/>
        <v>0.00946073793755913</v>
      </c>
      <c r="I19" s="53">
        <f t="shared" si="1"/>
        <v>0.12195121951219513</v>
      </c>
      <c r="J19" s="53">
        <f t="shared" si="1"/>
        <v>0.011111111111111112</v>
      </c>
      <c r="K19" s="53">
        <f t="shared" si="1"/>
        <v>0.020790020790020788</v>
      </c>
      <c r="L19" s="53">
        <f t="shared" si="1"/>
        <v>0.0063532401524777635</v>
      </c>
      <c r="M19" s="53">
        <f t="shared" si="1"/>
        <v>0.00411522633744856</v>
      </c>
      <c r="N19" s="54"/>
      <c r="O19" s="55"/>
    </row>
    <row r="20" spans="1:14" ht="38.25">
      <c r="A20" s="2" t="s">
        <v>72</v>
      </c>
      <c r="B20" s="9">
        <f>B19/B18</f>
        <v>0.011198208286674132</v>
      </c>
      <c r="C20" s="9">
        <f aca="true" t="shared" si="2" ref="C20:M20">C19/C18</f>
        <v>0.0011796904492261233</v>
      </c>
      <c r="D20" s="9">
        <f t="shared" si="2"/>
        <v>0.010729223495180941</v>
      </c>
      <c r="E20" s="9">
        <f t="shared" si="2"/>
        <v>0.00946073793755913</v>
      </c>
      <c r="F20" s="9">
        <f t="shared" si="2"/>
        <v>0.006747638326585695</v>
      </c>
      <c r="G20" s="9">
        <f t="shared" si="2"/>
        <v>0.014407814407814407</v>
      </c>
      <c r="H20" s="9">
        <f t="shared" si="2"/>
        <v>0.00946073793755913</v>
      </c>
      <c r="I20" s="9">
        <f t="shared" si="2"/>
        <v>0.12699747687132046</v>
      </c>
      <c r="J20" s="9">
        <f t="shared" si="2"/>
        <v>0.013194444444444446</v>
      </c>
      <c r="K20" s="9">
        <f t="shared" si="2"/>
        <v>0.022869022869022867</v>
      </c>
      <c r="L20" s="9">
        <f t="shared" si="2"/>
        <v>0.0063532401524777635</v>
      </c>
      <c r="M20" s="9">
        <f t="shared" si="2"/>
        <v>0.004148148148148148</v>
      </c>
      <c r="N20" s="3"/>
    </row>
    <row r="21" spans="1:15" ht="51">
      <c r="A21" s="2" t="s">
        <v>73</v>
      </c>
      <c r="B21" s="9">
        <f>B20/B11</f>
        <v>0.013997760358342664</v>
      </c>
      <c r="C21" s="9">
        <f aca="true" t="shared" si="3" ref="C21:M21">C20/C11</f>
        <v>0.0012037657645164524</v>
      </c>
      <c r="D21" s="9">
        <f t="shared" si="3"/>
        <v>0.011293919468611517</v>
      </c>
      <c r="E21" s="9">
        <f t="shared" si="3"/>
        <v>0.009958671513220137</v>
      </c>
      <c r="F21" s="9">
        <f t="shared" si="3"/>
        <v>0.008434547908232119</v>
      </c>
      <c r="G21" s="9">
        <f t="shared" si="3"/>
        <v>0.016008682675349342</v>
      </c>
      <c r="H21" s="9">
        <f t="shared" si="3"/>
        <v>0.009958671513220137</v>
      </c>
      <c r="I21" s="9">
        <f t="shared" si="3"/>
        <v>0.15678700848311167</v>
      </c>
      <c r="J21" s="9">
        <f t="shared" si="3"/>
        <v>0.014660493827160495</v>
      </c>
      <c r="K21" s="9">
        <f t="shared" si="3"/>
        <v>0.02858627858627858</v>
      </c>
      <c r="L21" s="9">
        <f t="shared" si="3"/>
        <v>0.007474400179385604</v>
      </c>
      <c r="M21" s="9">
        <f t="shared" si="3"/>
        <v>0.004232804232804233</v>
      </c>
      <c r="N21" s="3" t="s">
        <v>58</v>
      </c>
      <c r="O21" s="33" t="s">
        <v>59</v>
      </c>
    </row>
    <row r="22" spans="1:15" ht="38.25">
      <c r="A22" s="40" t="s">
        <v>83</v>
      </c>
      <c r="B22" s="41">
        <f>B9*1/B19</f>
        <v>282</v>
      </c>
      <c r="C22" s="41">
        <f aca="true" t="shared" si="4" ref="C22:M22">C9*1/C19</f>
        <v>882.9999999999999</v>
      </c>
      <c r="D22" s="41">
        <f t="shared" si="4"/>
        <v>188</v>
      </c>
      <c r="E22" s="41">
        <f t="shared" si="4"/>
        <v>211.4</v>
      </c>
      <c r="F22" s="41">
        <f t="shared" si="4"/>
        <v>312</v>
      </c>
      <c r="G22" s="41">
        <f t="shared" si="4"/>
        <v>210</v>
      </c>
      <c r="H22" s="41">
        <f t="shared" si="4"/>
        <v>211.4</v>
      </c>
      <c r="I22" s="41">
        <f t="shared" si="4"/>
        <v>254.2</v>
      </c>
      <c r="J22" s="41">
        <f t="shared" si="4"/>
        <v>180</v>
      </c>
      <c r="K22" s="41">
        <f t="shared" si="4"/>
        <v>192.40000000000003</v>
      </c>
      <c r="L22" s="41">
        <f t="shared" si="4"/>
        <v>314.8</v>
      </c>
      <c r="M22" s="41">
        <f t="shared" si="4"/>
        <v>242.99999999999997</v>
      </c>
      <c r="N22" s="45">
        <f aca="true" t="shared" si="5" ref="N22:N27">MAX(B22:M22)</f>
        <v>882.9999999999999</v>
      </c>
      <c r="O22" s="32">
        <f aca="true" t="shared" si="6" ref="O22:O27">MIN(B22:N22)</f>
        <v>180</v>
      </c>
    </row>
    <row r="23" spans="1:15" ht="38.25">
      <c r="A23" s="40" t="s">
        <v>60</v>
      </c>
      <c r="B23" s="41">
        <f>B9*1/B20</f>
        <v>267.90000000000003</v>
      </c>
      <c r="C23" s="41">
        <f aca="true" t="shared" si="7" ref="C23:M23">C9*1/C20</f>
        <v>847.6799999999998</v>
      </c>
      <c r="D23" s="41">
        <f t="shared" si="7"/>
        <v>186.40677966101697</v>
      </c>
      <c r="E23" s="41">
        <f t="shared" si="7"/>
        <v>211.4</v>
      </c>
      <c r="F23" s="41">
        <f t="shared" si="7"/>
        <v>296.4</v>
      </c>
      <c r="G23" s="41">
        <f t="shared" si="7"/>
        <v>208.22033898305085</v>
      </c>
      <c r="H23" s="41">
        <f t="shared" si="7"/>
        <v>211.4</v>
      </c>
      <c r="I23" s="41">
        <f t="shared" si="7"/>
        <v>244.09933774834434</v>
      </c>
      <c r="J23" s="41">
        <f t="shared" si="7"/>
        <v>151.57894736842104</v>
      </c>
      <c r="K23" s="41">
        <f t="shared" si="7"/>
        <v>174.90909090909093</v>
      </c>
      <c r="L23" s="41">
        <f t="shared" si="7"/>
        <v>314.8</v>
      </c>
      <c r="M23" s="41">
        <f t="shared" si="7"/>
        <v>241.07142857142856</v>
      </c>
      <c r="N23" s="45">
        <f t="shared" si="5"/>
        <v>847.6799999999998</v>
      </c>
      <c r="O23" s="32">
        <f t="shared" si="6"/>
        <v>151.57894736842104</v>
      </c>
    </row>
    <row r="24" spans="1:15" ht="51">
      <c r="A24" s="40" t="s">
        <v>61</v>
      </c>
      <c r="B24" s="41">
        <f>B9*1/B21</f>
        <v>214.32000000000002</v>
      </c>
      <c r="C24" s="41">
        <f aca="true" t="shared" si="8" ref="C24:M24">C9*1/C21</f>
        <v>830.7263999999998</v>
      </c>
      <c r="D24" s="41">
        <f t="shared" si="8"/>
        <v>177.08644067796612</v>
      </c>
      <c r="E24" s="41">
        <f t="shared" si="8"/>
        <v>200.82999999999998</v>
      </c>
      <c r="F24" s="41">
        <f t="shared" si="8"/>
        <v>237.12</v>
      </c>
      <c r="G24" s="41">
        <f t="shared" si="8"/>
        <v>187.39830508474577</v>
      </c>
      <c r="H24" s="41">
        <f t="shared" si="8"/>
        <v>200.82999999999998</v>
      </c>
      <c r="I24" s="41">
        <f t="shared" si="8"/>
        <v>197.72046357615892</v>
      </c>
      <c r="J24" s="35">
        <f t="shared" si="8"/>
        <v>136.42105263157893</v>
      </c>
      <c r="K24" s="41">
        <f t="shared" si="8"/>
        <v>139.92727272727276</v>
      </c>
      <c r="L24" s="41">
        <f t="shared" si="8"/>
        <v>267.58</v>
      </c>
      <c r="M24" s="41">
        <f t="shared" si="8"/>
        <v>236.24999999999997</v>
      </c>
      <c r="N24" s="45">
        <f t="shared" si="5"/>
        <v>830.7263999999998</v>
      </c>
      <c r="O24" s="34">
        <f t="shared" si="6"/>
        <v>136.42105263157893</v>
      </c>
    </row>
    <row r="25" spans="1:16" ht="38.25">
      <c r="A25" s="40" t="s">
        <v>84</v>
      </c>
      <c r="B25" s="41">
        <f>B22*19.5</f>
        <v>5499</v>
      </c>
      <c r="C25" s="41">
        <f aca="true" t="shared" si="9" ref="C25:M25">C22*19.5</f>
        <v>17218.499999999996</v>
      </c>
      <c r="D25" s="41">
        <f t="shared" si="9"/>
        <v>3666</v>
      </c>
      <c r="E25" s="41">
        <f t="shared" si="9"/>
        <v>4122.3</v>
      </c>
      <c r="F25" s="41">
        <f t="shared" si="9"/>
        <v>6084</v>
      </c>
      <c r="G25" s="41">
        <f t="shared" si="9"/>
        <v>4095</v>
      </c>
      <c r="H25" s="41">
        <f t="shared" si="9"/>
        <v>4122.3</v>
      </c>
      <c r="I25" s="41">
        <f t="shared" si="9"/>
        <v>4956.9</v>
      </c>
      <c r="J25" s="41">
        <f t="shared" si="9"/>
        <v>3510</v>
      </c>
      <c r="K25" s="41">
        <f t="shared" si="9"/>
        <v>3751.8000000000006</v>
      </c>
      <c r="L25" s="41">
        <f t="shared" si="9"/>
        <v>6138.6</v>
      </c>
      <c r="M25" s="41">
        <f t="shared" si="9"/>
        <v>4738.499999999999</v>
      </c>
      <c r="N25" s="45">
        <f t="shared" si="5"/>
        <v>17218.499999999996</v>
      </c>
      <c r="O25" s="32">
        <f t="shared" si="6"/>
        <v>3510</v>
      </c>
      <c r="P25" s="63" t="s">
        <v>87</v>
      </c>
    </row>
    <row r="26" spans="1:16" ht="38.25">
      <c r="A26" s="40" t="s">
        <v>74</v>
      </c>
      <c r="B26" s="41">
        <f aca="true" t="shared" si="10" ref="B26:M27">B23*19.5</f>
        <v>5224.050000000001</v>
      </c>
      <c r="C26" s="41">
        <f t="shared" si="10"/>
        <v>16529.76</v>
      </c>
      <c r="D26" s="41">
        <f t="shared" si="10"/>
        <v>3634.932203389831</v>
      </c>
      <c r="E26" s="41">
        <f t="shared" si="10"/>
        <v>4122.3</v>
      </c>
      <c r="F26" s="41">
        <f t="shared" si="10"/>
        <v>5779.799999999999</v>
      </c>
      <c r="G26" s="41">
        <f t="shared" si="10"/>
        <v>4060.2966101694915</v>
      </c>
      <c r="H26" s="41">
        <f t="shared" si="10"/>
        <v>4122.3</v>
      </c>
      <c r="I26" s="41">
        <f t="shared" si="10"/>
        <v>4759.937086092715</v>
      </c>
      <c r="J26" s="41">
        <f t="shared" si="10"/>
        <v>2955.7894736842104</v>
      </c>
      <c r="K26" s="41">
        <f t="shared" si="10"/>
        <v>3410.7272727272734</v>
      </c>
      <c r="L26" s="41">
        <f t="shared" si="10"/>
        <v>6138.6</v>
      </c>
      <c r="M26" s="41">
        <f t="shared" si="10"/>
        <v>4700.892857142857</v>
      </c>
      <c r="N26" s="45">
        <f t="shared" si="5"/>
        <v>16529.76</v>
      </c>
      <c r="O26" s="32">
        <f t="shared" si="6"/>
        <v>2955.7894736842104</v>
      </c>
      <c r="P26" s="63" t="s">
        <v>88</v>
      </c>
    </row>
    <row r="27" spans="1:16" ht="51">
      <c r="A27" s="40" t="s">
        <v>75</v>
      </c>
      <c r="B27" s="41">
        <f t="shared" si="10"/>
        <v>4179.240000000001</v>
      </c>
      <c r="C27" s="41">
        <f t="shared" si="10"/>
        <v>16199.164799999995</v>
      </c>
      <c r="D27" s="41">
        <f t="shared" si="10"/>
        <v>3453.1855932203393</v>
      </c>
      <c r="E27" s="41">
        <f t="shared" si="10"/>
        <v>3916.1849999999995</v>
      </c>
      <c r="F27" s="41">
        <f t="shared" si="10"/>
        <v>4623.84</v>
      </c>
      <c r="G27" s="41">
        <f t="shared" si="10"/>
        <v>3654.2669491525426</v>
      </c>
      <c r="H27" s="41">
        <f t="shared" si="10"/>
        <v>3916.1849999999995</v>
      </c>
      <c r="I27" s="41">
        <f t="shared" si="10"/>
        <v>3855.549039735099</v>
      </c>
      <c r="J27" s="35">
        <f t="shared" si="10"/>
        <v>2660.210526315789</v>
      </c>
      <c r="K27" s="41">
        <f t="shared" si="10"/>
        <v>2728.581818181819</v>
      </c>
      <c r="L27" s="41">
        <f t="shared" si="10"/>
        <v>5217.8099999999995</v>
      </c>
      <c r="M27" s="41">
        <f t="shared" si="10"/>
        <v>4606.874999999999</v>
      </c>
      <c r="N27" s="45">
        <f t="shared" si="5"/>
        <v>16199.164799999995</v>
      </c>
      <c r="O27" s="34">
        <f t="shared" si="6"/>
        <v>2660.210526315789</v>
      </c>
      <c r="P27" s="63" t="s">
        <v>86</v>
      </c>
    </row>
    <row r="28" spans="1:15" ht="12.75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2"/>
      <c r="N28" s="43"/>
      <c r="O28" s="44"/>
    </row>
    <row r="29" spans="1:15" ht="25.5">
      <c r="A29" s="40" t="s">
        <v>62</v>
      </c>
      <c r="B29" s="41">
        <f>B10*B11</f>
        <v>75.2</v>
      </c>
      <c r="C29" s="41">
        <f aca="true" t="shared" si="11" ref="C29:M29">C10*C11</f>
        <v>865.34</v>
      </c>
      <c r="D29" s="41">
        <f t="shared" si="11"/>
        <v>89.3</v>
      </c>
      <c r="E29" s="41">
        <f t="shared" si="11"/>
        <v>100.41499999999999</v>
      </c>
      <c r="F29" s="41">
        <f t="shared" si="11"/>
        <v>124.80000000000001</v>
      </c>
      <c r="G29" s="41">
        <f t="shared" si="11"/>
        <v>63</v>
      </c>
      <c r="H29" s="41">
        <f t="shared" si="11"/>
        <v>100.41499999999999</v>
      </c>
      <c r="I29" s="41">
        <f t="shared" si="11"/>
        <v>6.6419999999999995</v>
      </c>
      <c r="J29" s="41">
        <f t="shared" si="11"/>
        <v>81</v>
      </c>
      <c r="K29" s="41">
        <f t="shared" si="11"/>
        <v>38.480000000000004</v>
      </c>
      <c r="L29" s="41">
        <f t="shared" si="11"/>
        <v>133.79</v>
      </c>
      <c r="M29" s="42">
        <f t="shared" si="11"/>
        <v>238.14</v>
      </c>
      <c r="N29" s="45">
        <f>MAX(B29:M29)</f>
        <v>865.34</v>
      </c>
      <c r="O29" s="45">
        <f>MIN(B29:N29)</f>
        <v>6.6419999999999995</v>
      </c>
    </row>
    <row r="30" spans="1:15" ht="38.25">
      <c r="A30" s="62" t="s">
        <v>64</v>
      </c>
      <c r="B30" s="53">
        <f>B16+1/B29</f>
        <v>0.013297872340425532</v>
      </c>
      <c r="C30" s="53">
        <f aca="true" t="shared" si="12" ref="C30:M30">C16+1/C29</f>
        <v>0.1611556151339358</v>
      </c>
      <c r="D30" s="53">
        <f t="shared" si="12"/>
        <v>1.5111982082866742</v>
      </c>
      <c r="E30" s="53">
        <f t="shared" si="12"/>
        <v>0.16995867151322014</v>
      </c>
      <c r="F30" s="53">
        <f t="shared" si="12"/>
        <v>0.5080128205128205</v>
      </c>
      <c r="G30" s="53">
        <f t="shared" si="12"/>
        <v>2.015873015873016</v>
      </c>
      <c r="H30" s="53">
        <f t="shared" si="12"/>
        <v>0.16995867151322014</v>
      </c>
      <c r="I30" s="53">
        <f t="shared" si="12"/>
        <v>0.3105570611261668</v>
      </c>
      <c r="J30" s="53">
        <f t="shared" si="12"/>
        <v>0.17234567901234568</v>
      </c>
      <c r="K30" s="53">
        <f t="shared" si="12"/>
        <v>2.1259875259875263</v>
      </c>
      <c r="L30" s="53">
        <f t="shared" si="12"/>
        <v>0.1674744001793856</v>
      </c>
      <c r="M30" s="64">
        <f t="shared" si="12"/>
        <v>0.1641992105484169</v>
      </c>
      <c r="N30" s="65">
        <f>MAX(B30:M30)</f>
        <v>2.1259875259875263</v>
      </c>
      <c r="O30" s="65">
        <f>MIN(B30:N30)</f>
        <v>0.013297872340425532</v>
      </c>
    </row>
    <row r="31" spans="1:14" ht="12.75">
      <c r="A31" s="56" t="s">
        <v>70</v>
      </c>
      <c r="B31" s="57" t="s">
        <v>69</v>
      </c>
      <c r="C31" s="45">
        <f>G31/19.5</f>
        <v>71.7948717948718</v>
      </c>
      <c r="D31" s="55" t="s">
        <v>79</v>
      </c>
      <c r="E31" s="41"/>
      <c r="F31" s="57" t="s">
        <v>69</v>
      </c>
      <c r="G31" s="58">
        <v>1400</v>
      </c>
      <c r="H31" s="54" t="s">
        <v>76</v>
      </c>
      <c r="I31" s="41"/>
      <c r="J31" s="41"/>
      <c r="K31" s="41"/>
      <c r="L31" s="41"/>
      <c r="M31" s="42"/>
      <c r="N31" s="38"/>
    </row>
    <row r="32" spans="1:14" ht="12.75">
      <c r="A32" s="40" t="s">
        <v>85</v>
      </c>
      <c r="B32" s="41">
        <f>$C$31*B19/B$9</f>
        <v>0.2545917439534461</v>
      </c>
      <c r="C32" s="41">
        <f aca="true" t="shared" si="13" ref="C32:M32">$C$31*C19/C$9</f>
        <v>0.08130789557743126</v>
      </c>
      <c r="D32" s="41">
        <f t="shared" si="13"/>
        <v>0.3818876159301691</v>
      </c>
      <c r="E32" s="41">
        <f t="shared" si="13"/>
        <v>0.33961623365596877</v>
      </c>
      <c r="F32" s="41">
        <f t="shared" si="13"/>
        <v>0.23011176857330704</v>
      </c>
      <c r="G32" s="41">
        <f t="shared" si="13"/>
        <v>0.34188034188034183</v>
      </c>
      <c r="H32" s="41">
        <f t="shared" si="13"/>
        <v>0.33961623365596877</v>
      </c>
      <c r="I32" s="41">
        <f t="shared" si="13"/>
        <v>0.28243458613246186</v>
      </c>
      <c r="J32" s="41">
        <f t="shared" si="13"/>
        <v>0.39886039886039887</v>
      </c>
      <c r="K32" s="41">
        <f t="shared" si="13"/>
        <v>0.3731542193080654</v>
      </c>
      <c r="L32" s="41">
        <f t="shared" si="13"/>
        <v>0.2280650311145864</v>
      </c>
      <c r="M32" s="41">
        <f t="shared" si="13"/>
        <v>0.29545214730399916</v>
      </c>
      <c r="N32" s="38"/>
    </row>
    <row r="33" spans="1:14" ht="12.75">
      <c r="A33" s="40" t="s">
        <v>67</v>
      </c>
      <c r="B33" s="41">
        <f aca="true" t="shared" si="14" ref="B33:M34">$C$31*B20/B$9</f>
        <v>0.2679913094246801</v>
      </c>
      <c r="C33" s="41">
        <f t="shared" si="14"/>
        <v>0.08469572455982423</v>
      </c>
      <c r="D33" s="41">
        <f t="shared" si="14"/>
        <v>0.38515161264752096</v>
      </c>
      <c r="E33" s="41">
        <f t="shared" si="14"/>
        <v>0.33961623365596877</v>
      </c>
      <c r="F33" s="41">
        <f t="shared" si="14"/>
        <v>0.24222291428769163</v>
      </c>
      <c r="G33" s="41">
        <f t="shared" si="14"/>
        <v>0.34480239608444735</v>
      </c>
      <c r="H33" s="41">
        <f t="shared" si="14"/>
        <v>0.33961623365596877</v>
      </c>
      <c r="I33" s="41">
        <f t="shared" si="14"/>
        <v>0.29412153452414996</v>
      </c>
      <c r="J33" s="41">
        <f t="shared" si="14"/>
        <v>0.4736467236467237</v>
      </c>
      <c r="K33" s="41">
        <f t="shared" si="14"/>
        <v>0.410469641238872</v>
      </c>
      <c r="L33" s="41">
        <f t="shared" si="14"/>
        <v>0.2280650311145864</v>
      </c>
      <c r="M33" s="41">
        <f t="shared" si="14"/>
        <v>0.29781576448243113</v>
      </c>
      <c r="N33" s="38"/>
    </row>
    <row r="34" spans="1:14" ht="12.75">
      <c r="A34" s="40" t="s">
        <v>68</v>
      </c>
      <c r="B34" s="41">
        <f t="shared" si="14"/>
        <v>0.3349891367808501</v>
      </c>
      <c r="C34" s="41">
        <f t="shared" si="14"/>
        <v>0.08642420873451453</v>
      </c>
      <c r="D34" s="41">
        <f t="shared" si="14"/>
        <v>0.4054227501552852</v>
      </c>
      <c r="E34" s="41">
        <f t="shared" si="14"/>
        <v>0.3574907722694408</v>
      </c>
      <c r="F34" s="41">
        <f t="shared" si="14"/>
        <v>0.30277864285961453</v>
      </c>
      <c r="G34" s="41">
        <f t="shared" si="14"/>
        <v>0.38311377342716374</v>
      </c>
      <c r="H34" s="41">
        <f t="shared" si="14"/>
        <v>0.3574907722694408</v>
      </c>
      <c r="I34" s="41">
        <f t="shared" si="14"/>
        <v>0.3631130055853703</v>
      </c>
      <c r="J34" s="41">
        <f t="shared" si="14"/>
        <v>0.5262741373852485</v>
      </c>
      <c r="K34" s="41">
        <f t="shared" si="14"/>
        <v>0.5130870515485899</v>
      </c>
      <c r="L34" s="41">
        <f t="shared" si="14"/>
        <v>0.26831180131127813</v>
      </c>
      <c r="M34" s="41">
        <f t="shared" si="14"/>
        <v>0.3038936372269706</v>
      </c>
      <c r="N34" s="39"/>
    </row>
    <row r="35" spans="1:14" ht="12.75">
      <c r="A35" s="56" t="s">
        <v>71</v>
      </c>
      <c r="B35" s="57" t="s">
        <v>69</v>
      </c>
      <c r="C35" s="45">
        <f>G35/19.5</f>
        <v>102.56410256410257</v>
      </c>
      <c r="D35" s="59" t="s">
        <v>80</v>
      </c>
      <c r="E35" s="55"/>
      <c r="F35" s="57" t="s">
        <v>69</v>
      </c>
      <c r="G35" s="58">
        <v>2000</v>
      </c>
      <c r="H35" s="59" t="s">
        <v>77</v>
      </c>
      <c r="I35" s="60"/>
      <c r="J35" s="60"/>
      <c r="K35" s="60"/>
      <c r="L35" s="60"/>
      <c r="M35" s="61"/>
      <c r="N35" s="39"/>
    </row>
    <row r="36" spans="1:14" ht="12.75">
      <c r="A36" s="40" t="s">
        <v>85</v>
      </c>
      <c r="B36" s="41">
        <f>$C$35*B19/B$9</f>
        <v>0.36370249136206584</v>
      </c>
      <c r="C36" s="41">
        <f aca="true" t="shared" si="15" ref="C36:M36">$C$35*C19/C$9</f>
        <v>0.11615413653918752</v>
      </c>
      <c r="D36" s="41">
        <f t="shared" si="15"/>
        <v>0.5455537370430987</v>
      </c>
      <c r="E36" s="41">
        <f t="shared" si="15"/>
        <v>0.4851660480799554</v>
      </c>
      <c r="F36" s="41">
        <f t="shared" si="15"/>
        <v>0.3287310979618672</v>
      </c>
      <c r="G36" s="41">
        <f t="shared" si="15"/>
        <v>0.48840048840048844</v>
      </c>
      <c r="H36" s="41">
        <f t="shared" si="15"/>
        <v>0.4851660480799554</v>
      </c>
      <c r="I36" s="41">
        <f t="shared" si="15"/>
        <v>0.40347798018923126</v>
      </c>
      <c r="J36" s="41">
        <f t="shared" si="15"/>
        <v>0.5698005698005698</v>
      </c>
      <c r="K36" s="41">
        <f t="shared" si="15"/>
        <v>0.5330774561543792</v>
      </c>
      <c r="L36" s="41">
        <f t="shared" si="15"/>
        <v>0.325807187306552</v>
      </c>
      <c r="M36" s="41">
        <f t="shared" si="15"/>
        <v>0.4220744961485703</v>
      </c>
      <c r="N36" s="39"/>
    </row>
    <row r="37" spans="1:14" ht="12.75">
      <c r="A37" s="40" t="s">
        <v>67</v>
      </c>
      <c r="B37" s="41">
        <f aca="true" t="shared" si="16" ref="B37:M38">$C$35*B20/B$9</f>
        <v>0.382844727749543</v>
      </c>
      <c r="C37" s="41">
        <f t="shared" si="16"/>
        <v>0.12099389222832034</v>
      </c>
      <c r="D37" s="41">
        <f t="shared" si="16"/>
        <v>0.5502165894964586</v>
      </c>
      <c r="E37" s="41">
        <f t="shared" si="16"/>
        <v>0.4851660480799554</v>
      </c>
      <c r="F37" s="41">
        <f t="shared" si="16"/>
        <v>0.34603273469670237</v>
      </c>
      <c r="G37" s="41">
        <f t="shared" si="16"/>
        <v>0.49257485154921055</v>
      </c>
      <c r="H37" s="41">
        <f t="shared" si="16"/>
        <v>0.4851660480799554</v>
      </c>
      <c r="I37" s="41">
        <f t="shared" si="16"/>
        <v>0.42017362074878567</v>
      </c>
      <c r="J37" s="41">
        <f t="shared" si="16"/>
        <v>0.6766381766381767</v>
      </c>
      <c r="K37" s="41">
        <f t="shared" si="16"/>
        <v>0.5863852017698171</v>
      </c>
      <c r="L37" s="41">
        <f t="shared" si="16"/>
        <v>0.325807187306552</v>
      </c>
      <c r="M37" s="41">
        <f t="shared" si="16"/>
        <v>0.42545109211775883</v>
      </c>
      <c r="N37" s="39"/>
    </row>
    <row r="38" spans="1:14" ht="12.75">
      <c r="A38" s="40" t="s">
        <v>68</v>
      </c>
      <c r="B38" s="41">
        <f t="shared" si="16"/>
        <v>0.47855590968692874</v>
      </c>
      <c r="C38" s="41">
        <f t="shared" si="16"/>
        <v>0.12346315533502077</v>
      </c>
      <c r="D38" s="41">
        <f t="shared" si="16"/>
        <v>0.5791753573646932</v>
      </c>
      <c r="E38" s="41">
        <f t="shared" si="16"/>
        <v>0.5107011032420583</v>
      </c>
      <c r="F38" s="41">
        <f t="shared" si="16"/>
        <v>0.4325409183708779</v>
      </c>
      <c r="G38" s="41">
        <f t="shared" si="16"/>
        <v>0.547305390610234</v>
      </c>
      <c r="H38" s="41">
        <f t="shared" si="16"/>
        <v>0.5107011032420583</v>
      </c>
      <c r="I38" s="41">
        <f t="shared" si="16"/>
        <v>0.5187328651219576</v>
      </c>
      <c r="J38" s="41">
        <f t="shared" si="16"/>
        <v>0.7518201962646408</v>
      </c>
      <c r="K38" s="41">
        <f t="shared" si="16"/>
        <v>0.7329815022122713</v>
      </c>
      <c r="L38" s="41">
        <f t="shared" si="16"/>
        <v>0.3833025733018259</v>
      </c>
      <c r="M38" s="41">
        <f t="shared" si="16"/>
        <v>0.43413376746710086</v>
      </c>
      <c r="N38" s="39"/>
    </row>
    <row r="39" spans="1:14" ht="12.75">
      <c r="A39" s="56" t="s">
        <v>71</v>
      </c>
      <c r="B39" s="57" t="s">
        <v>69</v>
      </c>
      <c r="C39" s="45">
        <f>G39/19.5</f>
        <v>153.84615384615384</v>
      </c>
      <c r="D39" s="59" t="s">
        <v>81</v>
      </c>
      <c r="E39" s="60"/>
      <c r="F39" s="57" t="s">
        <v>69</v>
      </c>
      <c r="G39" s="58">
        <v>3000</v>
      </c>
      <c r="H39" s="59" t="s">
        <v>78</v>
      </c>
      <c r="I39" s="60"/>
      <c r="J39" s="60"/>
      <c r="K39" s="60"/>
      <c r="L39" s="60"/>
      <c r="M39" s="61"/>
      <c r="N39" s="39"/>
    </row>
    <row r="40" spans="1:14" ht="12.75">
      <c r="A40" s="40" t="s">
        <v>85</v>
      </c>
      <c r="B40" s="41">
        <f>$C$39*B19/B$9</f>
        <v>0.5455537370430987</v>
      </c>
      <c r="C40" s="41">
        <f aca="true" t="shared" si="17" ref="C40:M40">$C$39*C19/C$9</f>
        <v>0.17423120480878126</v>
      </c>
      <c r="D40" s="41">
        <f t="shared" si="17"/>
        <v>0.8183306055646481</v>
      </c>
      <c r="E40" s="41">
        <f t="shared" si="17"/>
        <v>0.727749072119933</v>
      </c>
      <c r="F40" s="41">
        <f t="shared" si="17"/>
        <v>0.49309664694280075</v>
      </c>
      <c r="G40" s="41">
        <f t="shared" si="17"/>
        <v>0.7326007326007326</v>
      </c>
      <c r="H40" s="41">
        <f t="shared" si="17"/>
        <v>0.727749072119933</v>
      </c>
      <c r="I40" s="41">
        <f t="shared" si="17"/>
        <v>0.6052169702838468</v>
      </c>
      <c r="J40" s="41">
        <f t="shared" si="17"/>
        <v>0.8547008547008547</v>
      </c>
      <c r="K40" s="41">
        <f t="shared" si="17"/>
        <v>0.7996161842315688</v>
      </c>
      <c r="L40" s="41">
        <f t="shared" si="17"/>
        <v>0.48871078095982795</v>
      </c>
      <c r="M40" s="41">
        <f t="shared" si="17"/>
        <v>0.6331117442228553</v>
      </c>
      <c r="N40" s="39"/>
    </row>
    <row r="41" spans="1:14" ht="12.75">
      <c r="A41" s="40" t="s">
        <v>67</v>
      </c>
      <c r="B41" s="41">
        <f aca="true" t="shared" si="18" ref="B41:M42">$C$39*B20/B$9</f>
        <v>0.5742670916243144</v>
      </c>
      <c r="C41" s="41">
        <f t="shared" si="18"/>
        <v>0.1814908383424805</v>
      </c>
      <c r="D41" s="41">
        <f t="shared" si="18"/>
        <v>0.8253248842446878</v>
      </c>
      <c r="E41" s="41">
        <f t="shared" si="18"/>
        <v>0.727749072119933</v>
      </c>
      <c r="F41" s="41">
        <f t="shared" si="18"/>
        <v>0.5190491020450535</v>
      </c>
      <c r="G41" s="41">
        <f t="shared" si="18"/>
        <v>0.7388622773238157</v>
      </c>
      <c r="H41" s="41">
        <f t="shared" si="18"/>
        <v>0.727749072119933</v>
      </c>
      <c r="I41" s="41">
        <f t="shared" si="18"/>
        <v>0.6302604311231784</v>
      </c>
      <c r="J41" s="48">
        <f t="shared" si="18"/>
        <v>1.0149572649572651</v>
      </c>
      <c r="K41" s="41">
        <f t="shared" si="18"/>
        <v>0.8795778026547256</v>
      </c>
      <c r="L41" s="41">
        <f t="shared" si="18"/>
        <v>0.48871078095982795</v>
      </c>
      <c r="M41" s="41">
        <f t="shared" si="18"/>
        <v>0.6381766381766382</v>
      </c>
      <c r="N41" s="39"/>
    </row>
    <row r="42" spans="1:14" ht="12.75">
      <c r="A42" s="40" t="s">
        <v>68</v>
      </c>
      <c r="B42" s="41">
        <f t="shared" si="18"/>
        <v>0.7178338645303931</v>
      </c>
      <c r="C42" s="41">
        <f t="shared" si="18"/>
        <v>0.18519473300253114</v>
      </c>
      <c r="D42" s="41">
        <f t="shared" si="18"/>
        <v>0.8687630360470397</v>
      </c>
      <c r="E42" s="41">
        <f t="shared" si="18"/>
        <v>0.7660516548630875</v>
      </c>
      <c r="F42" s="41">
        <f t="shared" si="18"/>
        <v>0.6488113775563168</v>
      </c>
      <c r="G42" s="41">
        <f t="shared" si="18"/>
        <v>0.8209580859153509</v>
      </c>
      <c r="H42" s="41">
        <f t="shared" si="18"/>
        <v>0.7660516548630875</v>
      </c>
      <c r="I42" s="41">
        <f t="shared" si="18"/>
        <v>0.7780992976829363</v>
      </c>
      <c r="J42" s="48">
        <f t="shared" si="18"/>
        <v>1.1277302943969612</v>
      </c>
      <c r="K42" s="48">
        <f t="shared" si="18"/>
        <v>1.099472253318407</v>
      </c>
      <c r="L42" s="41">
        <f t="shared" si="18"/>
        <v>0.5749538599527387</v>
      </c>
      <c r="M42" s="41">
        <f t="shared" si="18"/>
        <v>0.6512006512006512</v>
      </c>
      <c r="N42" s="39"/>
    </row>
    <row r="43" spans="1:14" ht="12.75">
      <c r="A43" s="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36"/>
      <c r="N43" s="39"/>
    </row>
    <row r="44" spans="1:14" ht="12.75">
      <c r="A44" s="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37"/>
    </row>
    <row r="45" spans="1:14" ht="12.75">
      <c r="A45" s="2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2.75">
      <c r="A46" s="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5" customHeight="1">
      <c r="A47" s="2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2.75">
      <c r="A48" s="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2.75">
      <c r="A49" s="2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2.75">
      <c r="A50" s="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2.75">
      <c r="A51" s="2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3" spans="1:17" ht="12.75">
      <c r="A53" s="2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Q53" s="14"/>
    </row>
    <row r="54" spans="1:14" ht="12.75">
      <c r="A54" s="2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7"/>
    </row>
    <row r="55" spans="1:14" ht="12.75">
      <c r="A55" s="2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8"/>
    </row>
    <row r="56" spans="1:14" ht="12.75">
      <c r="A56" s="2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</row>
    <row r="57" spans="1:14" ht="12.75">
      <c r="A57" s="2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</row>
    <row r="59" spans="1:14" ht="12.75">
      <c r="A59" s="2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</row>
    <row r="60" spans="1:14" ht="12.75">
      <c r="A60" s="2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</row>
    <row r="61" spans="1:14" ht="12.75">
      <c r="A61" s="2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</row>
    <row r="62" spans="1:14" ht="12.75">
      <c r="A62" s="2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</row>
    <row r="63" spans="1:14" ht="12.75">
      <c r="A63" s="2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</row>
    <row r="64" spans="1:14" ht="12.75">
      <c r="A64" s="2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</row>
    <row r="65" spans="1:14" ht="12.75">
      <c r="A65" s="2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</row>
    <row r="66" spans="1:13" ht="12.75">
      <c r="A66" s="6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90"/>
  <sheetViews>
    <sheetView workbookViewId="0" topLeftCell="J22">
      <selection activeCell="B21" sqref="B21"/>
    </sheetView>
  </sheetViews>
  <sheetFormatPr defaultColWidth="9.140625" defaultRowHeight="12.75"/>
  <cols>
    <col min="1" max="1" width="13.7109375" style="0" customWidth="1"/>
    <col min="2" max="2" width="10.57421875" style="0" customWidth="1"/>
    <col min="4" max="4" width="8.8515625" style="0" customWidth="1"/>
    <col min="5" max="5" width="10.00390625" style="0" customWidth="1"/>
    <col min="6" max="6" width="11.28125" style="0" customWidth="1"/>
    <col min="7" max="7" width="8.7109375" style="0" customWidth="1"/>
    <col min="8" max="8" width="11.7109375" style="0" customWidth="1"/>
    <col min="9" max="9" width="7.8515625" style="0" customWidth="1"/>
    <col min="10" max="10" width="8.00390625" style="0" customWidth="1"/>
    <col min="11" max="11" width="7.7109375" style="0" customWidth="1"/>
    <col min="12" max="12" width="8.28125" style="0" customWidth="1"/>
    <col min="13" max="13" width="8.421875" style="0" customWidth="1"/>
    <col min="14" max="14" width="8.7109375" style="0" customWidth="1"/>
    <col min="15" max="15" width="10.57421875" style="0" customWidth="1"/>
    <col min="16" max="16" width="13.8515625" style="69" customWidth="1"/>
    <col min="17" max="17" width="9.7109375" style="5" customWidth="1"/>
    <col min="18" max="23" width="9.28125" style="0" bestFit="1" customWidth="1"/>
    <col min="24" max="24" width="9.57421875" style="0" bestFit="1" customWidth="1"/>
    <col min="25" max="28" width="9.28125" style="0" bestFit="1" customWidth="1"/>
  </cols>
  <sheetData>
    <row r="1" ht="12.75">
      <c r="A1" t="s">
        <v>0</v>
      </c>
    </row>
    <row r="2" spans="3:8" ht="12.75">
      <c r="C2" s="15" t="s">
        <v>34</v>
      </c>
      <c r="D2" s="16">
        <v>2000</v>
      </c>
      <c r="E2" s="19" t="s">
        <v>32</v>
      </c>
      <c r="F2" s="21">
        <v>0.5</v>
      </c>
      <c r="G2" s="4" t="s">
        <v>36</v>
      </c>
      <c r="H2" s="22"/>
    </row>
    <row r="3" spans="3:8" ht="12.75">
      <c r="C3" s="19" t="s">
        <v>31</v>
      </c>
      <c r="D3" s="20">
        <v>1400</v>
      </c>
      <c r="E3" s="19" t="s">
        <v>40</v>
      </c>
      <c r="F3" s="20">
        <v>19.5</v>
      </c>
      <c r="G3" s="15" t="s">
        <v>38</v>
      </c>
      <c r="H3" s="16">
        <v>2</v>
      </c>
    </row>
    <row r="4" spans="3:8" ht="12.75">
      <c r="C4" s="17" t="s">
        <v>33</v>
      </c>
      <c r="D4" s="18">
        <v>2</v>
      </c>
      <c r="E4" s="19" t="s">
        <v>46</v>
      </c>
      <c r="F4" s="26">
        <v>47600</v>
      </c>
      <c r="G4" s="19" t="s">
        <v>39</v>
      </c>
      <c r="H4" s="20">
        <v>20</v>
      </c>
    </row>
    <row r="5" spans="3:8" ht="12.75">
      <c r="C5" s="17" t="s">
        <v>35</v>
      </c>
      <c r="D5" s="18">
        <v>34</v>
      </c>
      <c r="E5" s="13"/>
      <c r="F5" s="14"/>
      <c r="G5" s="17" t="s">
        <v>37</v>
      </c>
      <c r="H5" s="18">
        <v>200</v>
      </c>
    </row>
    <row r="7" ht="12.75">
      <c r="B7" s="31" t="s">
        <v>1</v>
      </c>
    </row>
    <row r="8" spans="2:28" s="1" customFormat="1" ht="39" customHeight="1">
      <c r="B8" s="116" t="s">
        <v>2</v>
      </c>
      <c r="C8" s="2" t="s">
        <v>116</v>
      </c>
      <c r="D8" s="2" t="s">
        <v>4</v>
      </c>
      <c r="E8" s="2" t="s">
        <v>5</v>
      </c>
      <c r="F8" s="116" t="s">
        <v>6</v>
      </c>
      <c r="G8" s="2" t="s">
        <v>7</v>
      </c>
      <c r="H8" s="2" t="s">
        <v>8</v>
      </c>
      <c r="I8" s="2" t="s">
        <v>9</v>
      </c>
      <c r="J8" s="116" t="s">
        <v>10</v>
      </c>
      <c r="K8" s="2" t="s">
        <v>11</v>
      </c>
      <c r="L8" s="2" t="s">
        <v>12</v>
      </c>
      <c r="M8" s="2" t="s">
        <v>13</v>
      </c>
      <c r="N8" s="2" t="s">
        <v>65</v>
      </c>
      <c r="O8" s="67" t="s">
        <v>66</v>
      </c>
      <c r="P8" s="90"/>
      <c r="Q8" s="117" t="s">
        <v>2</v>
      </c>
      <c r="R8" s="68" t="s">
        <v>3</v>
      </c>
      <c r="S8" s="2" t="s">
        <v>4</v>
      </c>
      <c r="T8" s="2" t="s">
        <v>5</v>
      </c>
      <c r="U8" s="116" t="s">
        <v>6</v>
      </c>
      <c r="V8" s="2" t="s">
        <v>7</v>
      </c>
      <c r="W8" s="2" t="s">
        <v>8</v>
      </c>
      <c r="X8" s="2" t="s">
        <v>9</v>
      </c>
      <c r="Y8" s="116" t="s">
        <v>10</v>
      </c>
      <c r="Z8" s="2" t="s">
        <v>11</v>
      </c>
      <c r="AA8" s="2" t="s">
        <v>12</v>
      </c>
      <c r="AB8" s="2" t="s">
        <v>13</v>
      </c>
    </row>
    <row r="9" spans="1:14" ht="14.25" customHeight="1">
      <c r="A9" s="40" t="s">
        <v>14</v>
      </c>
      <c r="B9" s="49">
        <v>3</v>
      </c>
      <c r="C9" s="49">
        <v>1</v>
      </c>
      <c r="D9" s="49">
        <v>2</v>
      </c>
      <c r="E9" s="49">
        <v>2</v>
      </c>
      <c r="F9" s="49">
        <v>2</v>
      </c>
      <c r="G9" s="49">
        <v>3</v>
      </c>
      <c r="H9" s="49">
        <v>2</v>
      </c>
      <c r="I9" s="49">
        <v>31</v>
      </c>
      <c r="J9" s="49">
        <v>2</v>
      </c>
      <c r="K9" s="49">
        <v>4</v>
      </c>
      <c r="L9" s="49">
        <v>2</v>
      </c>
      <c r="M9" s="49">
        <v>1</v>
      </c>
      <c r="N9" s="49"/>
    </row>
    <row r="10" spans="1:14" ht="25.5" customHeight="1">
      <c r="A10" s="40" t="s">
        <v>63</v>
      </c>
      <c r="B10" s="49">
        <v>94</v>
      </c>
      <c r="C10" s="49">
        <v>883</v>
      </c>
      <c r="D10" s="49">
        <v>94</v>
      </c>
      <c r="E10" s="49">
        <v>105.7</v>
      </c>
      <c r="F10" s="49">
        <v>156</v>
      </c>
      <c r="G10" s="49">
        <v>70</v>
      </c>
      <c r="H10" s="49">
        <v>105.7</v>
      </c>
      <c r="I10" s="49">
        <v>8.2</v>
      </c>
      <c r="J10" s="49">
        <v>90</v>
      </c>
      <c r="K10" s="49">
        <v>48.1</v>
      </c>
      <c r="L10" s="49">
        <v>157.4</v>
      </c>
      <c r="M10" s="49">
        <v>243</v>
      </c>
      <c r="N10" s="49"/>
    </row>
    <row r="11" spans="1:20" ht="15" customHeight="1">
      <c r="A11" s="80" t="s">
        <v>56</v>
      </c>
      <c r="B11" s="82">
        <v>0.8</v>
      </c>
      <c r="C11" s="82">
        <v>0.98</v>
      </c>
      <c r="D11" s="82">
        <v>0.95</v>
      </c>
      <c r="E11" s="82">
        <v>0.95</v>
      </c>
      <c r="F11" s="82">
        <v>0.8</v>
      </c>
      <c r="G11" s="82">
        <v>0.9</v>
      </c>
      <c r="H11" s="82">
        <v>0.95</v>
      </c>
      <c r="I11" s="82">
        <v>0.81</v>
      </c>
      <c r="J11" s="82">
        <v>0.9</v>
      </c>
      <c r="K11" s="82">
        <v>0.8</v>
      </c>
      <c r="L11" s="82">
        <v>0.85</v>
      </c>
      <c r="M11" s="82">
        <v>0.98</v>
      </c>
      <c r="N11" s="50"/>
      <c r="P11" s="124" t="s">
        <v>118</v>
      </c>
      <c r="Q11" s="125"/>
      <c r="R11" s="126"/>
      <c r="S11" s="126"/>
      <c r="T11" s="126"/>
    </row>
    <row r="12" spans="1:20" ht="15" customHeight="1">
      <c r="A12" s="80" t="s">
        <v>15</v>
      </c>
      <c r="B12" s="81">
        <v>57</v>
      </c>
      <c r="C12" s="81">
        <v>72</v>
      </c>
      <c r="D12" s="81">
        <v>351</v>
      </c>
      <c r="E12" s="81">
        <v>1</v>
      </c>
      <c r="F12" s="81">
        <v>57</v>
      </c>
      <c r="G12" s="81">
        <v>351</v>
      </c>
      <c r="H12" s="81">
        <v>1</v>
      </c>
      <c r="I12" s="81">
        <v>232</v>
      </c>
      <c r="J12" s="81">
        <v>16</v>
      </c>
      <c r="K12" s="81">
        <v>40</v>
      </c>
      <c r="L12" s="81">
        <v>1</v>
      </c>
      <c r="M12" s="81">
        <v>200</v>
      </c>
      <c r="N12" s="49"/>
      <c r="P12" s="127" t="s">
        <v>119</v>
      </c>
      <c r="Q12" s="128"/>
      <c r="R12" s="129"/>
      <c r="S12" s="129"/>
      <c r="T12" s="129"/>
    </row>
    <row r="13" spans="1:14" ht="15" customHeight="1">
      <c r="A13" s="80" t="s">
        <v>16</v>
      </c>
      <c r="B13" s="81">
        <v>3</v>
      </c>
      <c r="C13" s="81">
        <v>3</v>
      </c>
      <c r="D13" s="81">
        <v>3</v>
      </c>
      <c r="E13" s="81">
        <v>0</v>
      </c>
      <c r="F13" s="81">
        <v>3</v>
      </c>
      <c r="G13" s="81">
        <v>3</v>
      </c>
      <c r="H13" s="81">
        <v>0</v>
      </c>
      <c r="I13" s="81">
        <v>9.6</v>
      </c>
      <c r="J13" s="81">
        <v>3</v>
      </c>
      <c r="K13" s="81">
        <v>4</v>
      </c>
      <c r="L13" s="81">
        <v>0</v>
      </c>
      <c r="M13" s="81">
        <v>1.6</v>
      </c>
      <c r="N13" s="49"/>
    </row>
    <row r="14" spans="1:14" ht="25.5" customHeight="1">
      <c r="A14" s="40" t="s">
        <v>17</v>
      </c>
      <c r="B14" s="49">
        <v>300</v>
      </c>
      <c r="C14" s="49">
        <v>60</v>
      </c>
      <c r="D14" s="49">
        <v>120</v>
      </c>
      <c r="E14" s="49">
        <v>60</v>
      </c>
      <c r="F14" s="49">
        <v>120</v>
      </c>
      <c r="G14" s="49">
        <v>120</v>
      </c>
      <c r="H14" s="49">
        <v>60</v>
      </c>
      <c r="I14" s="49">
        <v>60</v>
      </c>
      <c r="J14" s="49">
        <v>60</v>
      </c>
      <c r="K14" s="49">
        <v>60</v>
      </c>
      <c r="L14" s="49">
        <v>60</v>
      </c>
      <c r="M14" s="49">
        <v>60</v>
      </c>
      <c r="N14" s="49">
        <f>SUM(B14:M14)</f>
        <v>1140</v>
      </c>
    </row>
    <row r="15" spans="1:14" ht="25.5" customHeight="1">
      <c r="A15" s="40" t="s">
        <v>18</v>
      </c>
      <c r="B15" s="49">
        <v>0.5</v>
      </c>
      <c r="C15" s="49">
        <v>0.25</v>
      </c>
      <c r="D15" s="49">
        <v>0.75</v>
      </c>
      <c r="E15" s="49">
        <v>0.2</v>
      </c>
      <c r="F15" s="49">
        <v>0.5</v>
      </c>
      <c r="G15" s="49">
        <v>0.33</v>
      </c>
      <c r="H15" s="49">
        <v>0.2</v>
      </c>
      <c r="I15" s="49">
        <v>0.6</v>
      </c>
      <c r="J15" s="49">
        <v>0</v>
      </c>
      <c r="K15" s="49">
        <v>0.33</v>
      </c>
      <c r="L15" s="49">
        <v>0.5</v>
      </c>
      <c r="M15" s="49">
        <v>0.1</v>
      </c>
      <c r="N15" s="49"/>
    </row>
    <row r="16" spans="1:14" ht="27" customHeight="1" thickBot="1">
      <c r="A16" s="83" t="s">
        <v>19</v>
      </c>
      <c r="B16" s="84">
        <v>0</v>
      </c>
      <c r="C16" s="84">
        <v>0.16</v>
      </c>
      <c r="D16" s="84">
        <v>1.5</v>
      </c>
      <c r="E16" s="84">
        <v>0.16</v>
      </c>
      <c r="F16" s="84">
        <v>0.5</v>
      </c>
      <c r="G16" s="84">
        <v>2</v>
      </c>
      <c r="H16" s="84">
        <v>0.16</v>
      </c>
      <c r="I16" s="84">
        <v>0.16</v>
      </c>
      <c r="J16" s="84">
        <v>0.16</v>
      </c>
      <c r="K16" s="84">
        <v>2.1</v>
      </c>
      <c r="L16" s="84">
        <v>0.16</v>
      </c>
      <c r="M16" s="84">
        <v>0.16</v>
      </c>
      <c r="N16" s="52"/>
    </row>
    <row r="17" ht="24" customHeight="1">
      <c r="A17" s="66" t="s">
        <v>89</v>
      </c>
    </row>
    <row r="18" spans="1:18" ht="12.75">
      <c r="A18" s="40" t="s">
        <v>57</v>
      </c>
      <c r="B18" s="53">
        <f>B12/(B12+B13)</f>
        <v>0.95</v>
      </c>
      <c r="C18" s="53">
        <f aca="true" t="shared" si="0" ref="C18:M18">C12/(C12+C13)</f>
        <v>0.96</v>
      </c>
      <c r="D18" s="53">
        <f t="shared" si="0"/>
        <v>0.9915254237288136</v>
      </c>
      <c r="E18" s="53">
        <f t="shared" si="0"/>
        <v>1</v>
      </c>
      <c r="F18" s="53">
        <f t="shared" si="0"/>
        <v>0.95</v>
      </c>
      <c r="G18" s="53">
        <f t="shared" si="0"/>
        <v>0.9915254237288136</v>
      </c>
      <c r="H18" s="53">
        <f t="shared" si="0"/>
        <v>1</v>
      </c>
      <c r="I18" s="53">
        <f t="shared" si="0"/>
        <v>0.9602649006622517</v>
      </c>
      <c r="J18" s="53">
        <f t="shared" si="0"/>
        <v>0.8421052631578947</v>
      </c>
      <c r="K18" s="53">
        <f t="shared" si="0"/>
        <v>0.9090909090909091</v>
      </c>
      <c r="L18" s="53">
        <f t="shared" si="0"/>
        <v>1</v>
      </c>
      <c r="M18" s="53">
        <f t="shared" si="0"/>
        <v>0.9920634920634921</v>
      </c>
      <c r="N18" s="54"/>
      <c r="O18" s="55"/>
      <c r="Q18" s="71" t="s">
        <v>90</v>
      </c>
      <c r="R18" t="s">
        <v>117</v>
      </c>
    </row>
    <row r="19" spans="1:28" ht="25.5">
      <c r="A19" s="40" t="s">
        <v>92</v>
      </c>
      <c r="B19" s="53">
        <f>1/B10</f>
        <v>0.010638297872340425</v>
      </c>
      <c r="C19" s="53">
        <f aca="true" t="shared" si="1" ref="C19:M19">1/C10</f>
        <v>0.0011325028312570782</v>
      </c>
      <c r="D19" s="53">
        <f t="shared" si="1"/>
        <v>0.010638297872340425</v>
      </c>
      <c r="E19" s="53">
        <f t="shared" si="1"/>
        <v>0.00946073793755913</v>
      </c>
      <c r="F19" s="53">
        <f t="shared" si="1"/>
        <v>0.00641025641025641</v>
      </c>
      <c r="G19" s="53">
        <f t="shared" si="1"/>
        <v>0.014285714285714285</v>
      </c>
      <c r="H19" s="53">
        <f t="shared" si="1"/>
        <v>0.00946073793755913</v>
      </c>
      <c r="I19" s="53">
        <f t="shared" si="1"/>
        <v>0.12195121951219513</v>
      </c>
      <c r="J19" s="53">
        <f t="shared" si="1"/>
        <v>0.011111111111111112</v>
      </c>
      <c r="K19" s="53">
        <f t="shared" si="1"/>
        <v>0.020790020790020788</v>
      </c>
      <c r="L19" s="53">
        <f t="shared" si="1"/>
        <v>0.0063532401524777635</v>
      </c>
      <c r="M19" s="53">
        <f t="shared" si="1"/>
        <v>0.00411522633744856</v>
      </c>
      <c r="N19" s="54"/>
      <c r="O19" s="55"/>
      <c r="P19" s="3" t="s">
        <v>94</v>
      </c>
      <c r="Q19" s="119">
        <f aca="true" t="shared" si="2" ref="Q19:AB21">B19*B$14+B$15</f>
        <v>3.6914893617021276</v>
      </c>
      <c r="R19" s="119">
        <f t="shared" si="2"/>
        <v>0.3179501698754247</v>
      </c>
      <c r="S19" s="118">
        <f t="shared" si="2"/>
        <v>2.026595744680851</v>
      </c>
      <c r="T19" s="118">
        <f t="shared" si="2"/>
        <v>0.7676442762535478</v>
      </c>
      <c r="U19" s="118">
        <f t="shared" si="2"/>
        <v>1.2692307692307692</v>
      </c>
      <c r="V19" s="118">
        <f t="shared" si="2"/>
        <v>2.044285714285714</v>
      </c>
      <c r="W19" s="118">
        <f t="shared" si="2"/>
        <v>0.7676442762535478</v>
      </c>
      <c r="X19" s="118">
        <f t="shared" si="2"/>
        <v>7.917073170731707</v>
      </c>
      <c r="Y19" s="118">
        <f t="shared" si="2"/>
        <v>0.6666666666666667</v>
      </c>
      <c r="Z19" s="118">
        <f t="shared" si="2"/>
        <v>1.5774012474012473</v>
      </c>
      <c r="AA19" s="118">
        <f t="shared" si="2"/>
        <v>0.8811944091486659</v>
      </c>
      <c r="AB19" s="118">
        <f t="shared" si="2"/>
        <v>0.3469135802469136</v>
      </c>
    </row>
    <row r="20" spans="1:29" ht="38.25">
      <c r="A20" s="40" t="s">
        <v>91</v>
      </c>
      <c r="B20" s="53">
        <f>1/(B10*B11)</f>
        <v>0.013297872340425532</v>
      </c>
      <c r="C20" s="53">
        <f aca="true" t="shared" si="3" ref="C20:M20">1/(C10*C11)</f>
        <v>0.001155615133935794</v>
      </c>
      <c r="D20" s="53">
        <f t="shared" si="3"/>
        <v>0.011198208286674132</v>
      </c>
      <c r="E20" s="53">
        <f t="shared" si="3"/>
        <v>0.009958671513220137</v>
      </c>
      <c r="F20" s="53">
        <f t="shared" si="3"/>
        <v>0.008012820512820512</v>
      </c>
      <c r="G20" s="53">
        <f t="shared" si="3"/>
        <v>0.015873015873015872</v>
      </c>
      <c r="H20" s="53">
        <f t="shared" si="3"/>
        <v>0.009958671513220137</v>
      </c>
      <c r="I20" s="53">
        <f t="shared" si="3"/>
        <v>0.15055706112616682</v>
      </c>
      <c r="J20" s="53">
        <f t="shared" si="3"/>
        <v>0.012345679012345678</v>
      </c>
      <c r="K20" s="53">
        <f t="shared" si="3"/>
        <v>0.025987525987525985</v>
      </c>
      <c r="L20" s="53">
        <f t="shared" si="3"/>
        <v>0.007474400179385604</v>
      </c>
      <c r="M20" s="53">
        <f t="shared" si="3"/>
        <v>0.004199210548416898</v>
      </c>
      <c r="N20" s="54"/>
      <c r="O20" s="55"/>
      <c r="P20" s="3" t="s">
        <v>94</v>
      </c>
      <c r="Q20" s="119">
        <f t="shared" si="2"/>
        <v>4.48936170212766</v>
      </c>
      <c r="R20" s="119">
        <f t="shared" si="2"/>
        <v>0.3193369080361476</v>
      </c>
      <c r="S20" s="118">
        <f t="shared" si="2"/>
        <v>2.0937849944008957</v>
      </c>
      <c r="T20" s="118">
        <f t="shared" si="2"/>
        <v>0.7975202907932082</v>
      </c>
      <c r="U20" s="118">
        <f t="shared" si="2"/>
        <v>1.4615384615384615</v>
      </c>
      <c r="V20" s="118">
        <f t="shared" si="2"/>
        <v>2.2347619047619047</v>
      </c>
      <c r="W20" s="118">
        <f t="shared" si="2"/>
        <v>0.7975202907932082</v>
      </c>
      <c r="X20" s="118">
        <f t="shared" si="2"/>
        <v>9.633423667570009</v>
      </c>
      <c r="Y20" s="118">
        <f t="shared" si="2"/>
        <v>0.7407407407407407</v>
      </c>
      <c r="Z20" s="118">
        <f t="shared" si="2"/>
        <v>1.8892515592515593</v>
      </c>
      <c r="AA20" s="118">
        <f t="shared" si="2"/>
        <v>0.9484640107631362</v>
      </c>
      <c r="AB20" s="118">
        <f t="shared" si="2"/>
        <v>0.3519526329050139</v>
      </c>
      <c r="AC20" t="s">
        <v>95</v>
      </c>
    </row>
    <row r="21" spans="1:29" ht="38.25">
      <c r="A21" s="72" t="s">
        <v>93</v>
      </c>
      <c r="B21" s="122">
        <f>B20/B18</f>
        <v>0.013997760358342666</v>
      </c>
      <c r="C21" s="122">
        <f aca="true" t="shared" si="4" ref="C21:M21">C20/C18</f>
        <v>0.001203765764516452</v>
      </c>
      <c r="D21" s="122">
        <f t="shared" si="4"/>
        <v>0.011293919468611517</v>
      </c>
      <c r="E21" s="122">
        <f t="shared" si="4"/>
        <v>0.009958671513220137</v>
      </c>
      <c r="F21" s="122">
        <f t="shared" si="4"/>
        <v>0.008434547908232119</v>
      </c>
      <c r="G21" s="122">
        <f t="shared" si="4"/>
        <v>0.016008682675349342</v>
      </c>
      <c r="H21" s="122">
        <f t="shared" si="4"/>
        <v>0.009958671513220137</v>
      </c>
      <c r="I21" s="122">
        <f t="shared" si="4"/>
        <v>0.15678700848311164</v>
      </c>
      <c r="J21" s="122">
        <f t="shared" si="4"/>
        <v>0.014660493827160493</v>
      </c>
      <c r="K21" s="122">
        <f t="shared" si="4"/>
        <v>0.028586278586278584</v>
      </c>
      <c r="L21" s="122">
        <f t="shared" si="4"/>
        <v>0.007474400179385604</v>
      </c>
      <c r="M21" s="122">
        <f t="shared" si="4"/>
        <v>0.004232804232804233</v>
      </c>
      <c r="N21" s="3"/>
      <c r="O21" s="72" t="s">
        <v>120</v>
      </c>
      <c r="P21" s="3" t="s">
        <v>94</v>
      </c>
      <c r="Q21" s="121">
        <f t="shared" si="2"/>
        <v>4.6993281075028</v>
      </c>
      <c r="R21" s="121">
        <f t="shared" si="2"/>
        <v>0.32222594587098713</v>
      </c>
      <c r="S21" s="120">
        <f t="shared" si="2"/>
        <v>2.105270336233382</v>
      </c>
      <c r="T21" s="120">
        <f t="shared" si="2"/>
        <v>0.7975202907932082</v>
      </c>
      <c r="U21" s="120">
        <f t="shared" si="2"/>
        <v>1.5121457489878543</v>
      </c>
      <c r="V21" s="120">
        <f t="shared" si="2"/>
        <v>2.2510419210419212</v>
      </c>
      <c r="W21" s="120">
        <f t="shared" si="2"/>
        <v>0.7975202907932082</v>
      </c>
      <c r="X21" s="120">
        <f t="shared" si="2"/>
        <v>10.007220508986698</v>
      </c>
      <c r="Y21" s="120">
        <f t="shared" si="2"/>
        <v>0.8796296296296295</v>
      </c>
      <c r="Z21" s="120">
        <f t="shared" si="2"/>
        <v>2.045176715176715</v>
      </c>
      <c r="AA21" s="120">
        <f t="shared" si="2"/>
        <v>0.9484640107631362</v>
      </c>
      <c r="AB21" s="120">
        <f t="shared" si="2"/>
        <v>0.35396825396825404</v>
      </c>
      <c r="AC21" t="s">
        <v>96</v>
      </c>
    </row>
    <row r="22" spans="1:17" ht="13.5" thickBot="1">
      <c r="A22" s="77"/>
      <c r="B22" s="7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3"/>
      <c r="Q22" s="71" t="s">
        <v>99</v>
      </c>
    </row>
    <row r="23" spans="1:19" ht="13.5" thickBot="1">
      <c r="A23" s="73" t="s">
        <v>103</v>
      </c>
      <c r="B23" s="79">
        <f>SUM(B21:M21)+SUM(B16:M16)+SUM(B15:M15)</f>
        <v>11.762597004510233</v>
      </c>
      <c r="C23" s="63" t="s">
        <v>105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3"/>
      <c r="Q23" s="71" t="s">
        <v>98</v>
      </c>
      <c r="S23" s="5"/>
    </row>
    <row r="24" spans="1:19" ht="12.75">
      <c r="A24" s="85" t="s">
        <v>104</v>
      </c>
      <c r="B24" s="86">
        <v>1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3"/>
      <c r="Q24" s="74" t="s">
        <v>97</v>
      </c>
      <c r="R24" s="75">
        <f>SUM(Q21:AB21)+SUM(B16:M16)</f>
        <v>33.939511759747795</v>
      </c>
      <c r="S24" s="63" t="s">
        <v>100</v>
      </c>
    </row>
    <row r="25" spans="1:20" ht="12.75">
      <c r="A25" s="46" t="s">
        <v>31</v>
      </c>
      <c r="B25" s="47">
        <v>1</v>
      </c>
      <c r="C25" s="9">
        <f>B24/B23</f>
        <v>0.08501523937414174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3"/>
      <c r="Q25" s="4"/>
      <c r="R25" s="76" t="s">
        <v>101</v>
      </c>
      <c r="S25" s="114">
        <f>R24/19.5</f>
        <v>1.7404877825511689</v>
      </c>
      <c r="T25" t="s">
        <v>102</v>
      </c>
    </row>
    <row r="26" spans="1:19" ht="12.75">
      <c r="A26" s="77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131"/>
      <c r="Q26" s="93" t="s">
        <v>104</v>
      </c>
      <c r="R26" s="91">
        <v>300</v>
      </c>
      <c r="S26" s="14">
        <v>60</v>
      </c>
    </row>
    <row r="27" spans="14:19" ht="12.75">
      <c r="N27" s="140"/>
      <c r="Q27" s="93" t="s">
        <v>31</v>
      </c>
      <c r="R27" s="91">
        <f>R26/R24</f>
        <v>8.839255028877567</v>
      </c>
      <c r="S27" s="14">
        <f>R26/R24</f>
        <v>8.839255028877567</v>
      </c>
    </row>
    <row r="28" spans="14:19" ht="12.75">
      <c r="N28" s="140"/>
      <c r="Q28" s="92"/>
      <c r="R28" s="123"/>
      <c r="S28" s="14"/>
    </row>
    <row r="29" spans="1:14" ht="12.75">
      <c r="A29" s="132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133"/>
    </row>
    <row r="30" spans="1:18" ht="12.75">
      <c r="A30" s="56" t="s">
        <v>70</v>
      </c>
      <c r="B30" s="57" t="s">
        <v>69</v>
      </c>
      <c r="C30" s="45">
        <f>G30/19.5</f>
        <v>71.7948717948718</v>
      </c>
      <c r="D30" s="55" t="s">
        <v>79</v>
      </c>
      <c r="E30" s="41"/>
      <c r="F30" s="57" t="s">
        <v>69</v>
      </c>
      <c r="G30" s="58">
        <v>1400</v>
      </c>
      <c r="H30" s="54" t="s">
        <v>76</v>
      </c>
      <c r="I30" s="41"/>
      <c r="J30" s="41"/>
      <c r="K30" s="41"/>
      <c r="L30" s="41"/>
      <c r="M30" s="42"/>
      <c r="N30" s="3"/>
      <c r="Q30" s="71" t="s">
        <v>90</v>
      </c>
      <c r="R30" t="s">
        <v>122</v>
      </c>
    </row>
    <row r="31" spans="1:28" ht="12.75">
      <c r="A31" s="40" t="s">
        <v>67</v>
      </c>
      <c r="B31" s="41">
        <f aca="true" t="shared" si="5" ref="B31:M31">$C$30*B21/B$9</f>
        <v>0.3349891367808501</v>
      </c>
      <c r="C31" s="41">
        <f t="shared" si="5"/>
        <v>0.08642420873451451</v>
      </c>
      <c r="D31" s="41">
        <f t="shared" si="5"/>
        <v>0.4054227501552852</v>
      </c>
      <c r="E31" s="41">
        <f t="shared" si="5"/>
        <v>0.3574907722694408</v>
      </c>
      <c r="F31" s="41">
        <f t="shared" si="5"/>
        <v>0.30277864285961453</v>
      </c>
      <c r="G31" s="41">
        <f t="shared" si="5"/>
        <v>0.38311377342716374</v>
      </c>
      <c r="H31" s="41">
        <f t="shared" si="5"/>
        <v>0.3574907722694408</v>
      </c>
      <c r="I31" s="41">
        <f t="shared" si="5"/>
        <v>0.36311300558537024</v>
      </c>
      <c r="J31" s="115">
        <f t="shared" si="5"/>
        <v>0.5262741373852484</v>
      </c>
      <c r="K31" s="115">
        <f t="shared" si="5"/>
        <v>0.51308705154859</v>
      </c>
      <c r="L31" s="41">
        <f t="shared" si="5"/>
        <v>0.26831180131127813</v>
      </c>
      <c r="M31" s="41">
        <f t="shared" si="5"/>
        <v>0.3038936372269706</v>
      </c>
      <c r="N31" s="3"/>
      <c r="P31" s="3" t="s">
        <v>94</v>
      </c>
      <c r="Q31" s="118">
        <f>(B19*B$14)/B$9+B$15</f>
        <v>1.5638297872340425</v>
      </c>
      <c r="R31" s="118">
        <f aca="true" t="shared" si="6" ref="R31:AB31">(C19*C$14)/C$9+C$15</f>
        <v>0.3179501698754247</v>
      </c>
      <c r="S31" s="118">
        <f t="shared" si="6"/>
        <v>1.3882978723404256</v>
      </c>
      <c r="T31" s="118">
        <f t="shared" si="6"/>
        <v>0.4838221381267739</v>
      </c>
      <c r="U31" s="118">
        <f t="shared" si="6"/>
        <v>0.8846153846153846</v>
      </c>
      <c r="V31" s="118">
        <f t="shared" si="6"/>
        <v>0.9014285714285715</v>
      </c>
      <c r="W31" s="118">
        <f t="shared" si="6"/>
        <v>0.4838221381267739</v>
      </c>
      <c r="X31" s="118">
        <f t="shared" si="6"/>
        <v>0.8360346184107003</v>
      </c>
      <c r="Y31" s="118">
        <f t="shared" si="6"/>
        <v>0.33333333333333337</v>
      </c>
      <c r="Z31" s="118">
        <f t="shared" si="6"/>
        <v>0.6418503118503118</v>
      </c>
      <c r="AA31" s="118">
        <f t="shared" si="6"/>
        <v>0.6905972045743329</v>
      </c>
      <c r="AB31" s="118">
        <f t="shared" si="6"/>
        <v>0.3469135802469136</v>
      </c>
    </row>
    <row r="32" spans="1:29" ht="12.75">
      <c r="A32" s="2" t="s">
        <v>106</v>
      </c>
      <c r="B32" s="9">
        <f aca="true" t="shared" si="7" ref="B32:M32">SQRT(B31)</f>
        <v>0.5787824606714081</v>
      </c>
      <c r="C32" s="9">
        <f t="shared" si="7"/>
        <v>0.2939799461434649</v>
      </c>
      <c r="D32" s="9">
        <f t="shared" si="7"/>
        <v>0.6367281603284758</v>
      </c>
      <c r="E32" s="9">
        <f t="shared" si="7"/>
        <v>0.5979053204893237</v>
      </c>
      <c r="F32" s="9">
        <f t="shared" si="7"/>
        <v>0.5502532533839437</v>
      </c>
      <c r="G32" s="9">
        <f t="shared" si="7"/>
        <v>0.6189618513504397</v>
      </c>
      <c r="H32" s="9">
        <f t="shared" si="7"/>
        <v>0.5979053204893237</v>
      </c>
      <c r="I32" s="9">
        <f t="shared" si="7"/>
        <v>0.6025885873341531</v>
      </c>
      <c r="J32" s="9">
        <f t="shared" si="7"/>
        <v>0.7254475428211529</v>
      </c>
      <c r="K32" s="9">
        <f t="shared" si="7"/>
        <v>0.7163009504032436</v>
      </c>
      <c r="L32" s="9">
        <f t="shared" si="7"/>
        <v>0.5179882250701053</v>
      </c>
      <c r="M32" s="9">
        <f t="shared" si="7"/>
        <v>0.5512654870631487</v>
      </c>
      <c r="N32" s="3"/>
      <c r="P32" s="3" t="s">
        <v>94</v>
      </c>
      <c r="Q32" s="118">
        <f>(B20*B$14)/B9+B$15</f>
        <v>1.8297872340425532</v>
      </c>
      <c r="R32" s="118">
        <f aca="true" t="shared" si="8" ref="R32:AB32">(C20*C$14)/C9+C$15</f>
        <v>0.3193369080361476</v>
      </c>
      <c r="S32" s="118">
        <f t="shared" si="8"/>
        <v>1.4218924972004479</v>
      </c>
      <c r="T32" s="118">
        <f t="shared" si="8"/>
        <v>0.4987601453966041</v>
      </c>
      <c r="U32" s="118">
        <f>(F20*F$14)/F9+F$15</f>
        <v>0.9807692307692307</v>
      </c>
      <c r="V32" s="118">
        <f t="shared" si="8"/>
        <v>0.964920634920635</v>
      </c>
      <c r="W32" s="118">
        <f t="shared" si="8"/>
        <v>0.4987601453966041</v>
      </c>
      <c r="X32" s="118">
        <f t="shared" si="8"/>
        <v>0.8914007634700003</v>
      </c>
      <c r="Y32" s="118">
        <f t="shared" si="8"/>
        <v>0.37037037037037035</v>
      </c>
      <c r="Z32" s="118">
        <f t="shared" si="8"/>
        <v>0.7198128898128898</v>
      </c>
      <c r="AA32" s="118">
        <f t="shared" si="8"/>
        <v>0.7242320053815681</v>
      </c>
      <c r="AB32" s="118">
        <f t="shared" si="8"/>
        <v>0.3519526329050139</v>
      </c>
      <c r="AC32" t="s">
        <v>95</v>
      </c>
    </row>
    <row r="33" spans="1:29" ht="12.75">
      <c r="A33" s="56" t="s">
        <v>71</v>
      </c>
      <c r="B33" s="57" t="s">
        <v>69</v>
      </c>
      <c r="C33" s="45">
        <f>G33/19.5</f>
        <v>102.56410256410257</v>
      </c>
      <c r="D33" s="59" t="s">
        <v>80</v>
      </c>
      <c r="E33" s="55"/>
      <c r="F33" s="57" t="s">
        <v>69</v>
      </c>
      <c r="G33" s="58">
        <v>2000</v>
      </c>
      <c r="H33" s="59" t="s">
        <v>77</v>
      </c>
      <c r="I33" s="60"/>
      <c r="J33" s="60"/>
      <c r="K33" s="60"/>
      <c r="L33" s="60"/>
      <c r="M33" s="61"/>
      <c r="N33" s="3"/>
      <c r="O33" s="130" t="s">
        <v>121</v>
      </c>
      <c r="P33" s="3" t="s">
        <v>94</v>
      </c>
      <c r="Q33" s="120">
        <f>(B21*B$14)/B9+B$15</f>
        <v>1.8997760358342666</v>
      </c>
      <c r="R33" s="120">
        <f aca="true" t="shared" si="9" ref="R33:AB33">(C21*C$14)/C9+C$15</f>
        <v>0.32222594587098713</v>
      </c>
      <c r="S33" s="120">
        <f t="shared" si="9"/>
        <v>1.427635168116691</v>
      </c>
      <c r="T33" s="120">
        <f t="shared" si="9"/>
        <v>0.4987601453966041</v>
      </c>
      <c r="U33" s="120">
        <f t="shared" si="9"/>
        <v>1.0060728744939271</v>
      </c>
      <c r="V33" s="120">
        <f t="shared" si="9"/>
        <v>0.9703473070139736</v>
      </c>
      <c r="W33" s="120">
        <f t="shared" si="9"/>
        <v>0.4987601453966041</v>
      </c>
      <c r="X33" s="120">
        <f t="shared" si="9"/>
        <v>0.9034587260963451</v>
      </c>
      <c r="Y33" s="120">
        <f t="shared" si="9"/>
        <v>0.43981481481481477</v>
      </c>
      <c r="Z33" s="120">
        <f t="shared" si="9"/>
        <v>0.7587941787941788</v>
      </c>
      <c r="AA33" s="120">
        <f t="shared" si="9"/>
        <v>0.7242320053815681</v>
      </c>
      <c r="AB33" s="120">
        <f t="shared" si="9"/>
        <v>0.35396825396825404</v>
      </c>
      <c r="AC33" t="s">
        <v>96</v>
      </c>
    </row>
    <row r="34" spans="1:17" ht="12.75">
      <c r="A34" s="40" t="s">
        <v>67</v>
      </c>
      <c r="B34" s="41">
        <f aca="true" t="shared" si="10" ref="B34:M34">$C$33*B21/B$9</f>
        <v>0.4785559096869288</v>
      </c>
      <c r="C34" s="41">
        <f t="shared" si="10"/>
        <v>0.12346315533502072</v>
      </c>
      <c r="D34" s="41">
        <f t="shared" si="10"/>
        <v>0.5791753573646932</v>
      </c>
      <c r="E34" s="41">
        <f t="shared" si="10"/>
        <v>0.5107011032420583</v>
      </c>
      <c r="F34" s="41">
        <f t="shared" si="10"/>
        <v>0.4325409183708779</v>
      </c>
      <c r="G34" s="41">
        <f t="shared" si="10"/>
        <v>0.547305390610234</v>
      </c>
      <c r="H34" s="41">
        <f t="shared" si="10"/>
        <v>0.5107011032420583</v>
      </c>
      <c r="I34" s="41">
        <f t="shared" si="10"/>
        <v>0.5187328651219575</v>
      </c>
      <c r="J34" s="115">
        <f t="shared" si="10"/>
        <v>0.7518201962646407</v>
      </c>
      <c r="K34" s="115">
        <f t="shared" si="10"/>
        <v>0.7329815022122714</v>
      </c>
      <c r="L34" s="41">
        <f t="shared" si="10"/>
        <v>0.3833025733018259</v>
      </c>
      <c r="M34" s="41">
        <f t="shared" si="10"/>
        <v>0.43413376746710086</v>
      </c>
      <c r="N34" s="3"/>
      <c r="Q34" s="71" t="s">
        <v>99</v>
      </c>
    </row>
    <row r="35" spans="1:19" ht="13.5" thickBot="1">
      <c r="A35" s="2" t="s">
        <v>106</v>
      </c>
      <c r="B35" s="9">
        <f aca="true" t="shared" si="11" ref="B35:M35">SQRT(B34)</f>
        <v>0.6917773555754255</v>
      </c>
      <c r="C35" s="9">
        <f t="shared" si="11"/>
        <v>0.35137324220125343</v>
      </c>
      <c r="D35" s="9">
        <f t="shared" si="11"/>
        <v>0.761035713593451</v>
      </c>
      <c r="E35" s="9">
        <f t="shared" si="11"/>
        <v>0.7146335447220892</v>
      </c>
      <c r="F35" s="9">
        <f t="shared" si="11"/>
        <v>0.6576784308238167</v>
      </c>
      <c r="G35" s="9">
        <f t="shared" si="11"/>
        <v>0.7398009128206277</v>
      </c>
      <c r="H35" s="9">
        <f t="shared" si="11"/>
        <v>0.7146335447220892</v>
      </c>
      <c r="I35" s="9">
        <f t="shared" si="11"/>
        <v>0.7202311192401766</v>
      </c>
      <c r="J35" s="9">
        <f t="shared" si="11"/>
        <v>0.8670756577511796</v>
      </c>
      <c r="K35" s="9">
        <f t="shared" si="11"/>
        <v>0.8561433888153733</v>
      </c>
      <c r="L35" s="9">
        <f t="shared" si="11"/>
        <v>0.6191143459021329</v>
      </c>
      <c r="M35" s="9">
        <f t="shared" si="11"/>
        <v>0.6588882814765344</v>
      </c>
      <c r="N35" s="3"/>
      <c r="Q35" s="71" t="s">
        <v>98</v>
      </c>
      <c r="S35" s="5"/>
    </row>
    <row r="36" spans="1:19" ht="12.75">
      <c r="A36" s="56" t="s">
        <v>71</v>
      </c>
      <c r="B36" s="57" t="s">
        <v>69</v>
      </c>
      <c r="C36" s="45">
        <f>G36/19.5</f>
        <v>153.84615384615384</v>
      </c>
      <c r="D36" s="59" t="s">
        <v>81</v>
      </c>
      <c r="E36" s="60"/>
      <c r="F36" s="57" t="s">
        <v>69</v>
      </c>
      <c r="G36" s="58">
        <v>3000</v>
      </c>
      <c r="H36" s="59" t="s">
        <v>78</v>
      </c>
      <c r="I36" s="60"/>
      <c r="J36" s="60"/>
      <c r="K36" s="60"/>
      <c r="L36" s="60"/>
      <c r="M36" s="61"/>
      <c r="N36" s="3"/>
      <c r="Q36" s="74" t="s">
        <v>97</v>
      </c>
      <c r="R36" s="75">
        <f>SUM(Q33:AB33)+SUM(B16:M16)</f>
        <v>17.023845601178216</v>
      </c>
      <c r="S36" s="63" t="s">
        <v>100</v>
      </c>
    </row>
    <row r="37" spans="1:20" ht="12.75">
      <c r="A37" s="40" t="s">
        <v>67</v>
      </c>
      <c r="B37" s="41">
        <f aca="true" t="shared" si="12" ref="B37:M37">$C$36*B21/B$9</f>
        <v>0.7178338645303931</v>
      </c>
      <c r="C37" s="41">
        <f t="shared" si="12"/>
        <v>0.18519473300253106</v>
      </c>
      <c r="D37" s="41">
        <f t="shared" si="12"/>
        <v>0.8687630360470397</v>
      </c>
      <c r="E37" s="41">
        <f t="shared" si="12"/>
        <v>0.7660516548630875</v>
      </c>
      <c r="F37" s="41">
        <f t="shared" si="12"/>
        <v>0.6488113775563168</v>
      </c>
      <c r="G37" s="41">
        <f t="shared" si="12"/>
        <v>0.8209580859153509</v>
      </c>
      <c r="H37" s="41">
        <f t="shared" si="12"/>
        <v>0.7660516548630875</v>
      </c>
      <c r="I37" s="41">
        <f t="shared" si="12"/>
        <v>0.7780992976829361</v>
      </c>
      <c r="J37" s="48">
        <f t="shared" si="12"/>
        <v>1.127730294396961</v>
      </c>
      <c r="K37" s="41">
        <f t="shared" si="12"/>
        <v>1.0994722533184071</v>
      </c>
      <c r="L37" s="41">
        <f t="shared" si="12"/>
        <v>0.5749538599527387</v>
      </c>
      <c r="M37" s="41">
        <f t="shared" si="12"/>
        <v>0.6512006512006512</v>
      </c>
      <c r="N37" s="3"/>
      <c r="Q37" s="4"/>
      <c r="R37" s="76" t="s">
        <v>101</v>
      </c>
      <c r="S37" s="114">
        <f>R36/19.5</f>
        <v>0.8730177231373444</v>
      </c>
      <c r="T37" t="s">
        <v>102</v>
      </c>
    </row>
    <row r="38" spans="1:19" ht="12.75">
      <c r="A38" s="2" t="s">
        <v>106</v>
      </c>
      <c r="B38" s="9">
        <f>SQRT(B37)</f>
        <v>0.8472507683858381</v>
      </c>
      <c r="C38" s="9">
        <f aca="true" t="shared" si="13" ref="C38:M38">SQRT(C37)</f>
        <v>0.43034257633021983</v>
      </c>
      <c r="D38" s="9">
        <f t="shared" si="13"/>
        <v>0.9320745871694174</v>
      </c>
      <c r="E38" s="9">
        <f t="shared" si="13"/>
        <v>0.8752437688227706</v>
      </c>
      <c r="F38" s="9">
        <f t="shared" si="13"/>
        <v>0.8054882851763375</v>
      </c>
      <c r="G38" s="9">
        <f t="shared" si="13"/>
        <v>0.9060673738278798</v>
      </c>
      <c r="H38" s="9">
        <f t="shared" si="13"/>
        <v>0.8752437688227706</v>
      </c>
      <c r="I38" s="9">
        <f t="shared" si="13"/>
        <v>0.8820993695060302</v>
      </c>
      <c r="J38" s="9">
        <f t="shared" si="13"/>
        <v>1.0619464649392458</v>
      </c>
      <c r="K38" s="9">
        <f t="shared" si="13"/>
        <v>1.0485572246274435</v>
      </c>
      <c r="L38" s="9">
        <f t="shared" si="13"/>
        <v>0.7582571199485955</v>
      </c>
      <c r="M38" s="9">
        <f t="shared" si="13"/>
        <v>0.8069700435584032</v>
      </c>
      <c r="N38" s="3"/>
      <c r="Q38" s="93" t="s">
        <v>104</v>
      </c>
      <c r="R38" s="91">
        <v>300</v>
      </c>
      <c r="S38" s="14">
        <v>60</v>
      </c>
    </row>
    <row r="39" spans="17:19" ht="12.75">
      <c r="Q39" s="93" t="s">
        <v>31</v>
      </c>
      <c r="R39" s="91">
        <f>R38/R36</f>
        <v>17.622340276584573</v>
      </c>
      <c r="S39" s="14">
        <f>R38/R36</f>
        <v>17.622340276584573</v>
      </c>
    </row>
    <row r="41" ht="13.5" thickBot="1"/>
    <row r="42" spans="16:29" ht="12.75">
      <c r="P42" s="101"/>
      <c r="Q42" s="102"/>
      <c r="R42" s="102" t="s">
        <v>112</v>
      </c>
      <c r="S42" s="102" t="s">
        <v>113</v>
      </c>
      <c r="T42" s="102"/>
      <c r="U42" s="141" t="s">
        <v>150</v>
      </c>
      <c r="V42" s="102"/>
      <c r="W42" s="102"/>
      <c r="X42" s="102"/>
      <c r="Y42" s="102"/>
      <c r="Z42" s="102"/>
      <c r="AA42" s="102"/>
      <c r="AB42" s="102"/>
      <c r="AC42" s="103"/>
    </row>
    <row r="43" spans="16:29" ht="12.75">
      <c r="P43" s="104"/>
      <c r="Q43" s="23" t="s">
        <v>110</v>
      </c>
      <c r="R43" s="16">
        <v>1400</v>
      </c>
      <c r="S43" s="3">
        <f>R43/19.5</f>
        <v>71.7948717948718</v>
      </c>
      <c r="T43" s="5"/>
      <c r="U43" s="5"/>
      <c r="V43" s="5"/>
      <c r="W43" s="5"/>
      <c r="X43" s="5"/>
      <c r="Y43" s="5"/>
      <c r="Z43" s="5"/>
      <c r="AA43" s="5"/>
      <c r="AB43" s="5"/>
      <c r="AC43" s="105"/>
    </row>
    <row r="44" spans="16:29" ht="12.75">
      <c r="P44" s="104"/>
      <c r="Q44" s="23" t="s">
        <v>110</v>
      </c>
      <c r="R44" s="20">
        <v>2000</v>
      </c>
      <c r="S44" s="3">
        <f>R44/19.5</f>
        <v>102.56410256410257</v>
      </c>
      <c r="T44" s="5"/>
      <c r="U44" s="5"/>
      <c r="V44" s="5"/>
      <c r="W44" s="5"/>
      <c r="X44" s="5"/>
      <c r="Y44" s="5"/>
      <c r="Z44" s="5"/>
      <c r="AA44" s="5"/>
      <c r="AB44" s="5"/>
      <c r="AC44" s="105"/>
    </row>
    <row r="45" spans="16:29" ht="12.75">
      <c r="P45" s="104"/>
      <c r="Q45" s="23" t="s">
        <v>110</v>
      </c>
      <c r="R45" s="18">
        <v>3000</v>
      </c>
      <c r="S45" s="3">
        <f>R45/19.5</f>
        <v>153.84615384615384</v>
      </c>
      <c r="T45" s="5"/>
      <c r="U45" s="5"/>
      <c r="V45" s="5"/>
      <c r="W45" s="5"/>
      <c r="X45" s="5"/>
      <c r="Y45" s="5"/>
      <c r="Z45" s="5"/>
      <c r="AA45" s="5"/>
      <c r="AB45" s="5"/>
      <c r="AC45" s="105"/>
    </row>
    <row r="46" spans="16:29" ht="25.5">
      <c r="P46" s="106" t="s">
        <v>17</v>
      </c>
      <c r="Q46" s="49">
        <v>300</v>
      </c>
      <c r="R46" s="49">
        <v>60</v>
      </c>
      <c r="S46" s="49">
        <v>120</v>
      </c>
      <c r="T46" s="49">
        <v>60</v>
      </c>
      <c r="U46" s="49">
        <v>120</v>
      </c>
      <c r="V46" s="49">
        <v>120</v>
      </c>
      <c r="W46" s="49">
        <v>60</v>
      </c>
      <c r="X46" s="49">
        <v>60</v>
      </c>
      <c r="Y46" s="49">
        <v>60</v>
      </c>
      <c r="Z46" s="49">
        <v>60</v>
      </c>
      <c r="AA46" s="49">
        <v>60</v>
      </c>
      <c r="AB46" s="49">
        <v>60</v>
      </c>
      <c r="AC46" s="107"/>
    </row>
    <row r="47" spans="1:29" ht="25.5">
      <c r="A47" s="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3"/>
      <c r="P47" s="106" t="s">
        <v>18</v>
      </c>
      <c r="Q47" s="49">
        <v>0.5</v>
      </c>
      <c r="R47" s="49">
        <v>0.25</v>
      </c>
      <c r="S47" s="49">
        <v>0.75</v>
      </c>
      <c r="T47" s="49">
        <v>0.2</v>
      </c>
      <c r="U47" s="49">
        <v>0.5</v>
      </c>
      <c r="V47" s="49">
        <v>0.33</v>
      </c>
      <c r="W47" s="49">
        <v>0.2</v>
      </c>
      <c r="X47" s="49">
        <v>0.6</v>
      </c>
      <c r="Y47" s="49">
        <v>0</v>
      </c>
      <c r="Z47" s="49">
        <v>0.33</v>
      </c>
      <c r="AA47" s="49">
        <v>0.5</v>
      </c>
      <c r="AB47" s="49">
        <v>0.1</v>
      </c>
      <c r="AC47" s="107"/>
    </row>
    <row r="48" spans="1:29" ht="13.5" thickBot="1">
      <c r="A48" s="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3"/>
      <c r="P48" s="104" t="s">
        <v>111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105"/>
    </row>
    <row r="49" spans="1:29" ht="39" thickBot="1">
      <c r="A49" s="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3"/>
      <c r="P49" s="108" t="s">
        <v>107</v>
      </c>
      <c r="Q49" s="97">
        <f aca="true" t="shared" si="14" ref="Q49:AB49">$S43*B$15/(B32-B31)</f>
        <v>147.24536063813923</v>
      </c>
      <c r="R49" s="98">
        <f t="shared" si="14"/>
        <v>86.47661670442433</v>
      </c>
      <c r="S49" s="99">
        <f t="shared" si="14"/>
        <v>232.79245308545265</v>
      </c>
      <c r="T49" s="99">
        <f t="shared" si="14"/>
        <v>59.72589622921513</v>
      </c>
      <c r="U49" s="99">
        <f t="shared" si="14"/>
        <v>145.0550253271611</v>
      </c>
      <c r="V49" s="99">
        <f t="shared" si="14"/>
        <v>100.45580146731182</v>
      </c>
      <c r="W49" s="99">
        <f t="shared" si="14"/>
        <v>59.72589622921513</v>
      </c>
      <c r="X49" s="99">
        <f t="shared" si="14"/>
        <v>179.88023147225118</v>
      </c>
      <c r="Y49" s="99">
        <f t="shared" si="14"/>
        <v>0</v>
      </c>
      <c r="Z49" s="99">
        <f t="shared" si="14"/>
        <v>116.58802781621422</v>
      </c>
      <c r="AA49" s="99">
        <f t="shared" si="14"/>
        <v>143.7758333646701</v>
      </c>
      <c r="AB49" s="100">
        <f t="shared" si="14"/>
        <v>29.0230565209493</v>
      </c>
      <c r="AC49" s="105"/>
    </row>
    <row r="50" spans="1:29" ht="12.75">
      <c r="A50" s="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3"/>
      <c r="P50" s="108" t="s">
        <v>115</v>
      </c>
      <c r="Q50" s="96">
        <f>Q49-Q$46</f>
        <v>-152.75463936186077</v>
      </c>
      <c r="R50" s="96">
        <f aca="true" t="shared" si="15" ref="R50:AB50">R49-R$46</f>
        <v>26.47661670442433</v>
      </c>
      <c r="S50" s="96">
        <f t="shared" si="15"/>
        <v>112.79245308545265</v>
      </c>
      <c r="T50" s="96">
        <f t="shared" si="15"/>
        <v>-0.274103770784869</v>
      </c>
      <c r="U50" s="96">
        <f t="shared" si="15"/>
        <v>25.055025327161104</v>
      </c>
      <c r="V50" s="96">
        <f t="shared" si="15"/>
        <v>-19.544198532688185</v>
      </c>
      <c r="W50" s="96">
        <f t="shared" si="15"/>
        <v>-0.274103770784869</v>
      </c>
      <c r="X50" s="96">
        <f t="shared" si="15"/>
        <v>119.88023147225118</v>
      </c>
      <c r="Y50" s="96">
        <f t="shared" si="15"/>
        <v>-60</v>
      </c>
      <c r="Z50" s="96">
        <f t="shared" si="15"/>
        <v>56.58802781621422</v>
      </c>
      <c r="AA50" s="96">
        <f t="shared" si="15"/>
        <v>83.77583336467009</v>
      </c>
      <c r="AB50" s="96">
        <f t="shared" si="15"/>
        <v>-30.9769434790507</v>
      </c>
      <c r="AC50" s="105"/>
    </row>
    <row r="51" spans="1:29" ht="13.5" thickBot="1">
      <c r="A51" s="2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3"/>
      <c r="P51" s="108" t="s">
        <v>114</v>
      </c>
      <c r="Q51" s="94">
        <f>Q46/Q49</f>
        <v>2.037415635371092</v>
      </c>
      <c r="R51" s="94">
        <f aca="true" t="shared" si="16" ref="R51:AB51">R46/R49</f>
        <v>0.6938291793384913</v>
      </c>
      <c r="S51" s="94">
        <f t="shared" si="16"/>
        <v>0.5154806283859675</v>
      </c>
      <c r="T51" s="94">
        <f t="shared" si="16"/>
        <v>1.0045893622045103</v>
      </c>
      <c r="U51" s="94">
        <f t="shared" si="16"/>
        <v>0.8272722694670432</v>
      </c>
      <c r="V51" s="94">
        <f t="shared" si="16"/>
        <v>1.1945551998711377</v>
      </c>
      <c r="W51" s="94">
        <f t="shared" si="16"/>
        <v>1.0045893622045103</v>
      </c>
      <c r="X51" s="94">
        <f t="shared" si="16"/>
        <v>0.3335552745786619</v>
      </c>
      <c r="Y51" s="94" t="e">
        <f t="shared" si="16"/>
        <v>#DIV/0!</v>
      </c>
      <c r="Z51" s="94">
        <f t="shared" si="16"/>
        <v>0.5146326009955512</v>
      </c>
      <c r="AA51" s="94">
        <f t="shared" si="16"/>
        <v>0.4173163082826112</v>
      </c>
      <c r="AB51" s="94">
        <f t="shared" si="16"/>
        <v>2.067321887916631</v>
      </c>
      <c r="AC51" s="105"/>
    </row>
    <row r="52" spans="1:29" ht="39" thickBot="1">
      <c r="A52" s="2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3"/>
      <c r="P52" s="108" t="s">
        <v>108</v>
      </c>
      <c r="Q52" s="97">
        <f aca="true" t="shared" si="17" ref="Q52:AB52">$S44*B$15/(B35-B34)</f>
        <v>240.51075663781504</v>
      </c>
      <c r="R52" s="98">
        <f t="shared" si="17"/>
        <v>112.50500578359716</v>
      </c>
      <c r="S52" s="99">
        <f t="shared" si="17"/>
        <v>422.9788092261142</v>
      </c>
      <c r="T52" s="99">
        <f t="shared" si="17"/>
        <v>100.58635283307358</v>
      </c>
      <c r="U52" s="99">
        <f t="shared" si="17"/>
        <v>227.78101580371208</v>
      </c>
      <c r="V52" s="99">
        <f t="shared" si="17"/>
        <v>175.8282658084934</v>
      </c>
      <c r="W52" s="99">
        <f t="shared" si="17"/>
        <v>100.58635283307358</v>
      </c>
      <c r="X52" s="99">
        <f t="shared" si="17"/>
        <v>305.4044403896269</v>
      </c>
      <c r="Y52" s="99">
        <f t="shared" si="17"/>
        <v>0</v>
      </c>
      <c r="Z52" s="99">
        <f t="shared" si="17"/>
        <v>274.81029058303994</v>
      </c>
      <c r="AA52" s="99">
        <f t="shared" si="17"/>
        <v>217.47027604500744</v>
      </c>
      <c r="AB52" s="100">
        <f t="shared" si="17"/>
        <v>45.63383432636982</v>
      </c>
      <c r="AC52" s="105"/>
    </row>
    <row r="53" spans="1:29" ht="12.75">
      <c r="A53" s="2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3"/>
      <c r="P53" s="108" t="s">
        <v>115</v>
      </c>
      <c r="Q53" s="96">
        <f aca="true" t="shared" si="18" ref="Q53:AB53">Q52-Q$46</f>
        <v>-59.489243362184965</v>
      </c>
      <c r="R53" s="96">
        <f t="shared" si="18"/>
        <v>52.505005783597156</v>
      </c>
      <c r="S53" s="96">
        <f t="shared" si="18"/>
        <v>302.9788092261142</v>
      </c>
      <c r="T53" s="96">
        <f t="shared" si="18"/>
        <v>40.586352833073576</v>
      </c>
      <c r="U53" s="96">
        <f t="shared" si="18"/>
        <v>107.78101580371208</v>
      </c>
      <c r="V53" s="96">
        <f t="shared" si="18"/>
        <v>55.8282658084934</v>
      </c>
      <c r="W53" s="96">
        <f t="shared" si="18"/>
        <v>40.586352833073576</v>
      </c>
      <c r="X53" s="96">
        <f t="shared" si="18"/>
        <v>245.40444038962693</v>
      </c>
      <c r="Y53" s="96">
        <f t="shared" si="18"/>
        <v>-60</v>
      </c>
      <c r="Z53" s="96">
        <f t="shared" si="18"/>
        <v>214.81029058303994</v>
      </c>
      <c r="AA53" s="96">
        <f t="shared" si="18"/>
        <v>157.47027604500744</v>
      </c>
      <c r="AB53" s="96">
        <f t="shared" si="18"/>
        <v>-14.366165673630178</v>
      </c>
      <c r="AC53" s="105"/>
    </row>
    <row r="54" spans="1:29" ht="13.5" thickBot="1">
      <c r="A54" s="2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3"/>
      <c r="P54" s="108" t="s">
        <v>114</v>
      </c>
      <c r="Q54" s="95">
        <f>Q46/Q52</f>
        <v>1.2473454584477057</v>
      </c>
      <c r="R54" s="95">
        <f aca="true" t="shared" si="19" ref="R54:AB54">R46/R52</f>
        <v>0.5333096032669845</v>
      </c>
      <c r="S54" s="95">
        <f t="shared" si="19"/>
        <v>0.2837021557168622</v>
      </c>
      <c r="T54" s="95">
        <f t="shared" si="19"/>
        <v>0.5965023913290902</v>
      </c>
      <c r="U54" s="95">
        <f t="shared" si="19"/>
        <v>0.5268217791398768</v>
      </c>
      <c r="V54" s="95">
        <f t="shared" si="19"/>
        <v>0.6824841242004868</v>
      </c>
      <c r="W54" s="95">
        <f t="shared" si="19"/>
        <v>0.5965023913290902</v>
      </c>
      <c r="X54" s="95">
        <f t="shared" si="19"/>
        <v>0.1964607977652636</v>
      </c>
      <c r="Y54" s="95" t="e">
        <f t="shared" si="19"/>
        <v>#DIV/0!</v>
      </c>
      <c r="Z54" s="95">
        <f t="shared" si="19"/>
        <v>0.21833243534186245</v>
      </c>
      <c r="AA54" s="95">
        <f t="shared" si="19"/>
        <v>0.27589977394235915</v>
      </c>
      <c r="AB54" s="95">
        <f t="shared" si="19"/>
        <v>1.3148139069551863</v>
      </c>
      <c r="AC54" s="105"/>
    </row>
    <row r="55" spans="1:29" ht="39" thickBot="1">
      <c r="A55" s="2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3"/>
      <c r="P55" s="108" t="s">
        <v>109</v>
      </c>
      <c r="Q55" s="97">
        <f aca="true" t="shared" si="20" ref="Q55:AB55">$S45*B$15/(B38-B37)</f>
        <v>594.3819905396423</v>
      </c>
      <c r="R55" s="98">
        <f t="shared" si="20"/>
        <v>156.89119651004629</v>
      </c>
      <c r="S55" s="99">
        <f t="shared" si="20"/>
        <v>1822.4891562296978</v>
      </c>
      <c r="T55" s="99">
        <f t="shared" si="20"/>
        <v>281.7898624125151</v>
      </c>
      <c r="U55" s="99">
        <f t="shared" si="20"/>
        <v>490.96626996005006</v>
      </c>
      <c r="V55" s="99">
        <f t="shared" si="20"/>
        <v>596.518100602708</v>
      </c>
      <c r="W55" s="99">
        <f t="shared" si="20"/>
        <v>281.7898624125151</v>
      </c>
      <c r="X55" s="99">
        <f t="shared" si="20"/>
        <v>887.5733515329609</v>
      </c>
      <c r="Y55" s="99">
        <f t="shared" si="20"/>
        <v>0</v>
      </c>
      <c r="Z55" s="99">
        <f t="shared" si="20"/>
        <v>-997.1364462422712</v>
      </c>
      <c r="AA55" s="99">
        <f t="shared" si="20"/>
        <v>419.6492573280783</v>
      </c>
      <c r="AB55" s="100">
        <f t="shared" si="20"/>
        <v>98.76532964372032</v>
      </c>
      <c r="AC55" s="105"/>
    </row>
    <row r="56" spans="1:29" ht="12.75">
      <c r="A56" s="5" t="s">
        <v>123</v>
      </c>
      <c r="B56" s="134"/>
      <c r="C56" s="25"/>
      <c r="D56" s="25"/>
      <c r="E56" s="137" t="s">
        <v>127</v>
      </c>
      <c r="F56" s="135" t="s">
        <v>128</v>
      </c>
      <c r="G56" s="135"/>
      <c r="I56" s="135" t="s">
        <v>129</v>
      </c>
      <c r="M56" s="135" t="s">
        <v>130</v>
      </c>
      <c r="P56" s="108" t="s">
        <v>115</v>
      </c>
      <c r="Q56" s="96">
        <f aca="true" t="shared" si="21" ref="Q56:AB56">Q55-Q$46</f>
        <v>294.3819905396423</v>
      </c>
      <c r="R56" s="96">
        <f t="shared" si="21"/>
        <v>96.89119651004629</v>
      </c>
      <c r="S56" s="96">
        <f t="shared" si="21"/>
        <v>1702.4891562296978</v>
      </c>
      <c r="T56" s="96">
        <f t="shared" si="21"/>
        <v>221.7898624125151</v>
      </c>
      <c r="U56" s="96">
        <f t="shared" si="21"/>
        <v>370.96626996005006</v>
      </c>
      <c r="V56" s="96">
        <f t="shared" si="21"/>
        <v>476.51810060270805</v>
      </c>
      <c r="W56" s="96">
        <f t="shared" si="21"/>
        <v>221.7898624125151</v>
      </c>
      <c r="X56" s="96">
        <f t="shared" si="21"/>
        <v>827.5733515329609</v>
      </c>
      <c r="Y56" s="96">
        <f t="shared" si="21"/>
        <v>-60</v>
      </c>
      <c r="Z56" s="96">
        <f t="shared" si="21"/>
        <v>-1057.1364462422712</v>
      </c>
      <c r="AA56" s="96">
        <f t="shared" si="21"/>
        <v>359.6492573280783</v>
      </c>
      <c r="AB56" s="96">
        <f t="shared" si="21"/>
        <v>38.76532964372032</v>
      </c>
      <c r="AC56" s="105"/>
    </row>
    <row r="57" spans="1:29" ht="12.75">
      <c r="A57" s="6"/>
      <c r="B57" s="135" t="s">
        <v>124</v>
      </c>
      <c r="C57" s="25"/>
      <c r="D57" s="25"/>
      <c r="E57" s="25" t="s">
        <v>144</v>
      </c>
      <c r="F57" s="135" t="s">
        <v>131</v>
      </c>
      <c r="G57" s="135" t="s">
        <v>140</v>
      </c>
      <c r="I57" s="135" t="s">
        <v>134</v>
      </c>
      <c r="J57" s="135" t="s">
        <v>141</v>
      </c>
      <c r="M57" s="135" t="s">
        <v>137</v>
      </c>
      <c r="P57" s="108" t="s">
        <v>114</v>
      </c>
      <c r="Q57" s="24">
        <f>Q46/Q55</f>
        <v>0.5047259250362356</v>
      </c>
      <c r="R57" s="24">
        <f aca="true" t="shared" si="22" ref="R57:AB57">R46/R55</f>
        <v>0.3824306355911945</v>
      </c>
      <c r="S57" s="24">
        <f t="shared" si="22"/>
        <v>0.06584401316727274</v>
      </c>
      <c r="T57" s="24">
        <f t="shared" si="22"/>
        <v>0.21292462222138203</v>
      </c>
      <c r="U57" s="24">
        <f t="shared" si="22"/>
        <v>0.24441597588723235</v>
      </c>
      <c r="V57" s="24">
        <f t="shared" si="22"/>
        <v>0.20116740779325018</v>
      </c>
      <c r="W57" s="24">
        <f t="shared" si="22"/>
        <v>0.21292462222138203</v>
      </c>
      <c r="X57" s="24">
        <f t="shared" si="22"/>
        <v>0.06760004668501118</v>
      </c>
      <c r="Y57" s="24" t="e">
        <f t="shared" si="22"/>
        <v>#DIV/0!</v>
      </c>
      <c r="Z57" s="24">
        <f t="shared" si="22"/>
        <v>-0.06017230663477522</v>
      </c>
      <c r="AA57" s="24">
        <f t="shared" si="22"/>
        <v>0.14297654279676825</v>
      </c>
      <c r="AB57" s="24">
        <f t="shared" si="22"/>
        <v>0.6075006301952328</v>
      </c>
      <c r="AC57" s="105"/>
    </row>
    <row r="58" spans="1:29" ht="13.5" thickBot="1">
      <c r="A58" s="6"/>
      <c r="B58" s="135" t="s">
        <v>125</v>
      </c>
      <c r="C58" s="12"/>
      <c r="D58" s="12"/>
      <c r="E58" s="12" t="s">
        <v>145</v>
      </c>
      <c r="F58" s="136" t="s">
        <v>132</v>
      </c>
      <c r="G58" s="136" t="s">
        <v>142</v>
      </c>
      <c r="I58" s="136" t="s">
        <v>135</v>
      </c>
      <c r="J58" s="136" t="s">
        <v>143</v>
      </c>
      <c r="M58" s="136" t="s">
        <v>138</v>
      </c>
      <c r="P58" s="109"/>
      <c r="Q58" s="110"/>
      <c r="R58" s="111"/>
      <c r="S58" s="112"/>
      <c r="T58" s="110"/>
      <c r="U58" s="110"/>
      <c r="V58" s="110"/>
      <c r="W58" s="110"/>
      <c r="X58" s="110"/>
      <c r="Y58" s="110"/>
      <c r="Z58" s="110"/>
      <c r="AA58" s="110"/>
      <c r="AB58" s="110"/>
      <c r="AC58" s="113"/>
    </row>
    <row r="59" spans="1:13" ht="12.75">
      <c r="A59" s="6"/>
      <c r="B59" s="135" t="s">
        <v>126</v>
      </c>
      <c r="C59" s="12"/>
      <c r="D59" s="12"/>
      <c r="E59" s="12" t="s">
        <v>148</v>
      </c>
      <c r="F59" s="136" t="s">
        <v>133</v>
      </c>
      <c r="G59" s="136" t="s">
        <v>146</v>
      </c>
      <c r="I59" s="136" t="s">
        <v>136</v>
      </c>
      <c r="J59" s="136" t="s">
        <v>147</v>
      </c>
      <c r="M59" s="136" t="s">
        <v>139</v>
      </c>
    </row>
    <row r="60" spans="1:13" ht="12.75">
      <c r="A60" s="6"/>
      <c r="B60" s="136"/>
      <c r="C60" s="136" t="s">
        <v>149</v>
      </c>
      <c r="D60" s="136"/>
      <c r="E60" s="136"/>
      <c r="F60" s="136"/>
      <c r="G60" s="136"/>
      <c r="H60" s="136"/>
      <c r="I60" s="136"/>
      <c r="J60" s="136"/>
      <c r="K60" s="136"/>
      <c r="L60" s="136"/>
      <c r="M60" s="136"/>
    </row>
    <row r="61" spans="1:16" ht="38.25">
      <c r="A61" s="40" t="s">
        <v>83</v>
      </c>
      <c r="B61" s="41">
        <f>B9*1/B19</f>
        <v>282</v>
      </c>
      <c r="C61" s="41">
        <f aca="true" t="shared" si="23" ref="C61:M61">C9*1/C19</f>
        <v>882.9999999999999</v>
      </c>
      <c r="D61" s="41">
        <f t="shared" si="23"/>
        <v>188</v>
      </c>
      <c r="E61" s="41">
        <f t="shared" si="23"/>
        <v>211.4</v>
      </c>
      <c r="F61" s="41">
        <f t="shared" si="23"/>
        <v>312</v>
      </c>
      <c r="G61" s="41">
        <f t="shared" si="23"/>
        <v>210</v>
      </c>
      <c r="H61" s="41">
        <f t="shared" si="23"/>
        <v>211.4</v>
      </c>
      <c r="I61" s="41">
        <f t="shared" si="23"/>
        <v>254.2</v>
      </c>
      <c r="J61" s="41">
        <f t="shared" si="23"/>
        <v>180</v>
      </c>
      <c r="K61" s="41">
        <f t="shared" si="23"/>
        <v>192.40000000000003</v>
      </c>
      <c r="L61" s="41">
        <f t="shared" si="23"/>
        <v>314.8</v>
      </c>
      <c r="M61" s="41">
        <f t="shared" si="23"/>
        <v>242.99999999999997</v>
      </c>
      <c r="N61" s="45">
        <f>MAX(B61:M61)</f>
        <v>882.9999999999999</v>
      </c>
      <c r="O61" s="87">
        <f>MIN(B61:N61)</f>
        <v>180</v>
      </c>
      <c r="P61" s="70" t="s">
        <v>87</v>
      </c>
    </row>
    <row r="62" spans="1:16" ht="38.25">
      <c r="A62" s="40" t="s">
        <v>60</v>
      </c>
      <c r="B62" s="41">
        <f aca="true" t="shared" si="24" ref="B62:M62">B9*1/B21</f>
        <v>214.32</v>
      </c>
      <c r="C62" s="41">
        <f t="shared" si="24"/>
        <v>830.7264000000001</v>
      </c>
      <c r="D62" s="41">
        <f t="shared" si="24"/>
        <v>177.08644067796612</v>
      </c>
      <c r="E62" s="41">
        <f t="shared" si="24"/>
        <v>200.82999999999998</v>
      </c>
      <c r="F62" s="41">
        <f t="shared" si="24"/>
        <v>237.12</v>
      </c>
      <c r="G62" s="41">
        <f t="shared" si="24"/>
        <v>187.39830508474577</v>
      </c>
      <c r="H62" s="41">
        <f t="shared" si="24"/>
        <v>200.82999999999998</v>
      </c>
      <c r="I62" s="41">
        <f t="shared" si="24"/>
        <v>197.72046357615895</v>
      </c>
      <c r="J62" s="41">
        <f t="shared" si="24"/>
        <v>136.42105263157896</v>
      </c>
      <c r="K62" s="41">
        <f t="shared" si="24"/>
        <v>139.92727272727274</v>
      </c>
      <c r="L62" s="41">
        <f t="shared" si="24"/>
        <v>267.58</v>
      </c>
      <c r="M62" s="41">
        <f t="shared" si="24"/>
        <v>236.24999999999997</v>
      </c>
      <c r="N62" s="45">
        <f>MAX(B62:M62)</f>
        <v>830.7264000000001</v>
      </c>
      <c r="O62" s="87">
        <f>MIN(B62:N62)</f>
        <v>136.42105263157896</v>
      </c>
      <c r="P62" s="70" t="s">
        <v>88</v>
      </c>
    </row>
    <row r="63" spans="1:15" ht="15" customHeight="1">
      <c r="A63" s="40" t="s">
        <v>84</v>
      </c>
      <c r="B63" s="41">
        <f>B61*19.5</f>
        <v>5499</v>
      </c>
      <c r="C63" s="41">
        <f aca="true" t="shared" si="25" ref="C63:M64">C61*19.5</f>
        <v>17218.499999999996</v>
      </c>
      <c r="D63" s="41">
        <f t="shared" si="25"/>
        <v>3666</v>
      </c>
      <c r="E63" s="41">
        <f t="shared" si="25"/>
        <v>4122.3</v>
      </c>
      <c r="F63" s="41">
        <f t="shared" si="25"/>
        <v>6084</v>
      </c>
      <c r="G63" s="41">
        <f t="shared" si="25"/>
        <v>4095</v>
      </c>
      <c r="H63" s="41">
        <f t="shared" si="25"/>
        <v>4122.3</v>
      </c>
      <c r="I63" s="41">
        <f t="shared" si="25"/>
        <v>4956.9</v>
      </c>
      <c r="J63" s="41">
        <f t="shared" si="25"/>
        <v>3510</v>
      </c>
      <c r="K63" s="41">
        <f t="shared" si="25"/>
        <v>3751.8000000000006</v>
      </c>
      <c r="L63" s="41">
        <f t="shared" si="25"/>
        <v>6138.6</v>
      </c>
      <c r="M63" s="41">
        <f t="shared" si="25"/>
        <v>4738.499999999999</v>
      </c>
      <c r="N63" s="45">
        <f>MAX(B63:M63)</f>
        <v>17218.499999999996</v>
      </c>
      <c r="O63" s="87">
        <f>MIN(B63:N63)</f>
        <v>3510</v>
      </c>
    </row>
    <row r="64" spans="1:15" ht="38.25">
      <c r="A64" s="40" t="s">
        <v>74</v>
      </c>
      <c r="B64" s="41">
        <f>B62*19.5</f>
        <v>4179.24</v>
      </c>
      <c r="C64" s="41">
        <f t="shared" si="25"/>
        <v>16199.164800000002</v>
      </c>
      <c r="D64" s="41">
        <f t="shared" si="25"/>
        <v>3453.1855932203393</v>
      </c>
      <c r="E64" s="41">
        <f t="shared" si="25"/>
        <v>3916.1849999999995</v>
      </c>
      <c r="F64" s="41">
        <f t="shared" si="25"/>
        <v>4623.84</v>
      </c>
      <c r="G64" s="41">
        <f t="shared" si="25"/>
        <v>3654.2669491525426</v>
      </c>
      <c r="H64" s="41">
        <f t="shared" si="25"/>
        <v>3916.1849999999995</v>
      </c>
      <c r="I64" s="41">
        <f t="shared" si="25"/>
        <v>3855.5490397350995</v>
      </c>
      <c r="J64" s="41">
        <f t="shared" si="25"/>
        <v>2660.2105263157896</v>
      </c>
      <c r="K64" s="41">
        <f t="shared" si="25"/>
        <v>2728.5818181818186</v>
      </c>
      <c r="L64" s="41">
        <f t="shared" si="25"/>
        <v>5217.8099999999995</v>
      </c>
      <c r="M64" s="41">
        <f t="shared" si="25"/>
        <v>4606.874999999999</v>
      </c>
      <c r="N64" s="45">
        <f>MAX(B64:M64)</f>
        <v>16199.164800000002</v>
      </c>
      <c r="O64" s="87">
        <f>MIN(B64:N64)</f>
        <v>2660.2105263157896</v>
      </c>
    </row>
    <row r="65" spans="1:15" ht="12.75">
      <c r="A65" s="40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2"/>
      <c r="N65" s="43"/>
      <c r="O65" s="44"/>
    </row>
    <row r="66" spans="1:15" ht="25.5">
      <c r="A66" s="40" t="s">
        <v>62</v>
      </c>
      <c r="B66" s="41">
        <f>B10*B11</f>
        <v>75.2</v>
      </c>
      <c r="C66" s="41">
        <f aca="true" t="shared" si="26" ref="C66:M66">C10*C11</f>
        <v>865.34</v>
      </c>
      <c r="D66" s="41">
        <f t="shared" si="26"/>
        <v>89.3</v>
      </c>
      <c r="E66" s="41">
        <f t="shared" si="26"/>
        <v>100.41499999999999</v>
      </c>
      <c r="F66" s="41">
        <f t="shared" si="26"/>
        <v>124.80000000000001</v>
      </c>
      <c r="G66" s="41">
        <f t="shared" si="26"/>
        <v>63</v>
      </c>
      <c r="H66" s="41">
        <f t="shared" si="26"/>
        <v>100.41499999999999</v>
      </c>
      <c r="I66" s="41">
        <f t="shared" si="26"/>
        <v>6.6419999999999995</v>
      </c>
      <c r="J66" s="41">
        <f t="shared" si="26"/>
        <v>81</v>
      </c>
      <c r="K66" s="41">
        <f t="shared" si="26"/>
        <v>38.480000000000004</v>
      </c>
      <c r="L66" s="41">
        <f t="shared" si="26"/>
        <v>133.79</v>
      </c>
      <c r="M66" s="42">
        <f t="shared" si="26"/>
        <v>238.14</v>
      </c>
      <c r="N66" s="45">
        <f>MAX(B66:M66)</f>
        <v>865.34</v>
      </c>
      <c r="O66" s="88">
        <f>MIN(B66:N66)</f>
        <v>6.6419999999999995</v>
      </c>
    </row>
    <row r="67" spans="1:15" ht="38.25">
      <c r="A67" s="62" t="s">
        <v>64</v>
      </c>
      <c r="B67" s="53">
        <f aca="true" t="shared" si="27" ref="B67:M67">B16+1/B66</f>
        <v>0.013297872340425532</v>
      </c>
      <c r="C67" s="53">
        <f t="shared" si="27"/>
        <v>0.1611556151339358</v>
      </c>
      <c r="D67" s="53">
        <f t="shared" si="27"/>
        <v>1.5111982082866742</v>
      </c>
      <c r="E67" s="53">
        <f t="shared" si="27"/>
        <v>0.16995867151322014</v>
      </c>
      <c r="F67" s="53">
        <f t="shared" si="27"/>
        <v>0.5080128205128205</v>
      </c>
      <c r="G67" s="53">
        <f t="shared" si="27"/>
        <v>2.015873015873016</v>
      </c>
      <c r="H67" s="53">
        <f t="shared" si="27"/>
        <v>0.16995867151322014</v>
      </c>
      <c r="I67" s="53">
        <f t="shared" si="27"/>
        <v>0.3105570611261668</v>
      </c>
      <c r="J67" s="53">
        <f t="shared" si="27"/>
        <v>0.17234567901234568</v>
      </c>
      <c r="K67" s="53">
        <f t="shared" si="27"/>
        <v>2.1259875259875263</v>
      </c>
      <c r="L67" s="53">
        <f t="shared" si="27"/>
        <v>0.1674744001793856</v>
      </c>
      <c r="M67" s="64">
        <f t="shared" si="27"/>
        <v>0.1641992105484169</v>
      </c>
      <c r="N67" s="65">
        <f>MAX(B67:M67)</f>
        <v>2.1259875259875263</v>
      </c>
      <c r="O67" s="89">
        <f>MIN(B67:N67)</f>
        <v>0.013297872340425532</v>
      </c>
    </row>
    <row r="68" spans="1:14" ht="12.75">
      <c r="A68" s="2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37"/>
    </row>
    <row r="69" spans="1:14" ht="12.75">
      <c r="A69" s="2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2.75">
      <c r="A70" s="2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4" ht="12.75">
      <c r="A71" s="2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2.75">
      <c r="A72" s="2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14" ht="12.75">
      <c r="A73" s="2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2.75">
      <c r="A74" s="2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1:17" ht="12.75">
      <c r="A75" s="2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Q75" s="14"/>
    </row>
    <row r="77" spans="1:14" ht="12.75">
      <c r="A77" s="2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2.75">
      <c r="A78" s="2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7"/>
    </row>
    <row r="79" spans="1:14" ht="12.75">
      <c r="A79" s="2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8"/>
    </row>
    <row r="80" spans="1:14" ht="12.75">
      <c r="A80" s="2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</row>
    <row r="81" spans="1:14" ht="12.75">
      <c r="A81" s="2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</row>
    <row r="83" spans="1:14" ht="12.75">
      <c r="A83" s="2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</row>
    <row r="84" spans="1:14" ht="12.75">
      <c r="A84" s="2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</row>
    <row r="85" spans="1:14" ht="12.75">
      <c r="A85" s="2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</row>
    <row r="86" spans="1:14" ht="12.75">
      <c r="A86" s="2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</row>
    <row r="87" spans="1:14" ht="12.75">
      <c r="A87" s="2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</row>
    <row r="88" spans="1:14" ht="12.75">
      <c r="A88" s="2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</row>
    <row r="89" spans="1:14" ht="12.75">
      <c r="A89" s="2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</row>
    <row r="90" spans="1:13" ht="12.75">
      <c r="A90" s="6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5"/>
  <sheetViews>
    <sheetView tabSelected="1" zoomScale="85" zoomScaleNormal="85" workbookViewId="0" topLeftCell="A8">
      <pane xSplit="1" ySplit="1" topLeftCell="B9" activePane="bottomRight" state="frozen"/>
      <selection pane="topLeft" activeCell="A8" sqref="A8"/>
      <selection pane="topRight" activeCell="Q8" sqref="Q8"/>
      <selection pane="bottomLeft" activeCell="A15" sqref="A15"/>
      <selection pane="bottomRight" activeCell="K100" sqref="K100"/>
    </sheetView>
  </sheetViews>
  <sheetFormatPr defaultColWidth="9.140625" defaultRowHeight="12.75"/>
  <cols>
    <col min="1" max="1" width="13.7109375" style="0" customWidth="1"/>
    <col min="2" max="2" width="10.57421875" style="0" customWidth="1"/>
    <col min="3" max="3" width="10.7109375" style="0" bestFit="1" customWidth="1"/>
    <col min="4" max="4" width="8.8515625" style="0" customWidth="1"/>
    <col min="5" max="5" width="10.00390625" style="0" customWidth="1"/>
    <col min="6" max="6" width="11.28125" style="0" customWidth="1"/>
    <col min="7" max="7" width="8.7109375" style="0" customWidth="1"/>
    <col min="8" max="8" width="11.7109375" style="0" customWidth="1"/>
    <col min="9" max="9" width="7.8515625" style="0" customWidth="1"/>
    <col min="10" max="10" width="8.00390625" style="0" customWidth="1"/>
    <col min="11" max="11" width="7.7109375" style="0" customWidth="1"/>
    <col min="12" max="12" width="8.28125" style="0" customWidth="1"/>
    <col min="13" max="13" width="8.421875" style="0" customWidth="1"/>
    <col min="14" max="14" width="8.7109375" style="0" customWidth="1"/>
    <col min="15" max="15" width="10.57421875" style="0" customWidth="1"/>
    <col min="16" max="16" width="13.8515625" style="69" customWidth="1"/>
    <col min="17" max="17" width="9.7109375" style="5" customWidth="1"/>
    <col min="18" max="23" width="9.28125" style="0" bestFit="1" customWidth="1"/>
    <col min="24" max="24" width="9.57421875" style="0" bestFit="1" customWidth="1"/>
    <col min="25" max="28" width="9.28125" style="0" bestFit="1" customWidth="1"/>
  </cols>
  <sheetData>
    <row r="1" ht="12.75">
      <c r="A1" t="s">
        <v>0</v>
      </c>
    </row>
    <row r="2" spans="3:8" ht="12.75">
      <c r="C2" s="15" t="s">
        <v>34</v>
      </c>
      <c r="D2" s="16">
        <v>2000</v>
      </c>
      <c r="E2" s="19" t="s">
        <v>32</v>
      </c>
      <c r="F2" s="21">
        <v>0.5</v>
      </c>
      <c r="G2" s="4" t="s">
        <v>36</v>
      </c>
      <c r="H2" s="22"/>
    </row>
    <row r="3" spans="3:8" ht="12.75">
      <c r="C3" s="19" t="s">
        <v>31</v>
      </c>
      <c r="D3" s="20">
        <v>1400</v>
      </c>
      <c r="E3" s="19" t="s">
        <v>40</v>
      </c>
      <c r="F3" s="20">
        <v>19.5</v>
      </c>
      <c r="G3" s="15" t="s">
        <v>38</v>
      </c>
      <c r="H3" s="16">
        <v>2</v>
      </c>
    </row>
    <row r="4" spans="3:8" ht="12.75">
      <c r="C4" s="17" t="s">
        <v>33</v>
      </c>
      <c r="D4" s="18">
        <v>2</v>
      </c>
      <c r="E4" s="19" t="s">
        <v>46</v>
      </c>
      <c r="F4" s="26">
        <v>47600</v>
      </c>
      <c r="G4" s="19" t="s">
        <v>39</v>
      </c>
      <c r="H4" s="20">
        <v>20</v>
      </c>
    </row>
    <row r="5" spans="3:8" ht="12.75">
      <c r="C5" s="17" t="s">
        <v>35</v>
      </c>
      <c r="D5" s="18">
        <v>34</v>
      </c>
      <c r="E5" s="13"/>
      <c r="F5" s="14"/>
      <c r="G5" s="17" t="s">
        <v>37</v>
      </c>
      <c r="H5" s="18">
        <v>200</v>
      </c>
    </row>
    <row r="7" ht="12.75">
      <c r="B7" s="31" t="s">
        <v>1</v>
      </c>
    </row>
    <row r="8" spans="2:28" s="1" customFormat="1" ht="39" customHeight="1">
      <c r="B8" s="116" t="s">
        <v>2</v>
      </c>
      <c r="C8" s="2" t="s">
        <v>116</v>
      </c>
      <c r="D8" s="2" t="s">
        <v>4</v>
      </c>
      <c r="E8" s="2" t="s">
        <v>5</v>
      </c>
      <c r="F8" s="116" t="s">
        <v>6</v>
      </c>
      <c r="G8" s="2" t="s">
        <v>7</v>
      </c>
      <c r="H8" s="2" t="s">
        <v>8</v>
      </c>
      <c r="I8" s="2" t="s">
        <v>9</v>
      </c>
      <c r="J8" s="116" t="s">
        <v>10</v>
      </c>
      <c r="K8" s="2" t="s">
        <v>11</v>
      </c>
      <c r="L8" s="2" t="s">
        <v>12</v>
      </c>
      <c r="M8" s="2" t="s">
        <v>13</v>
      </c>
      <c r="N8" s="2" t="s">
        <v>65</v>
      </c>
      <c r="O8" s="67" t="s">
        <v>66</v>
      </c>
      <c r="P8" s="90"/>
      <c r="Q8" s="117" t="s">
        <v>2</v>
      </c>
      <c r="R8" s="68" t="s">
        <v>3</v>
      </c>
      <c r="S8" s="2" t="s">
        <v>4</v>
      </c>
      <c r="T8" s="2" t="s">
        <v>5</v>
      </c>
      <c r="U8" s="116" t="s">
        <v>6</v>
      </c>
      <c r="V8" s="2" t="s">
        <v>7</v>
      </c>
      <c r="W8" s="2" t="s">
        <v>8</v>
      </c>
      <c r="X8" s="2" t="s">
        <v>9</v>
      </c>
      <c r="Y8" s="116" t="s">
        <v>10</v>
      </c>
      <c r="Z8" s="2" t="s">
        <v>11</v>
      </c>
      <c r="AA8" s="2" t="s">
        <v>12</v>
      </c>
      <c r="AB8" s="2" t="s">
        <v>13</v>
      </c>
    </row>
    <row r="9" spans="1:14" ht="14.25" customHeight="1">
      <c r="A9" s="165" t="s">
        <v>14</v>
      </c>
      <c r="B9" s="166">
        <v>3</v>
      </c>
      <c r="C9" s="166">
        <v>1</v>
      </c>
      <c r="D9" s="166">
        <v>2</v>
      </c>
      <c r="E9" s="166">
        <v>2</v>
      </c>
      <c r="F9" s="166">
        <v>2</v>
      </c>
      <c r="G9" s="166">
        <v>3</v>
      </c>
      <c r="H9" s="166">
        <v>2</v>
      </c>
      <c r="I9" s="166">
        <v>31</v>
      </c>
      <c r="J9" s="166">
        <v>2</v>
      </c>
      <c r="K9" s="166">
        <v>4</v>
      </c>
      <c r="L9" s="166">
        <v>2</v>
      </c>
      <c r="M9" s="166">
        <v>1</v>
      </c>
      <c r="N9" s="49"/>
    </row>
    <row r="10" spans="1:14" ht="25.5" customHeight="1">
      <c r="A10" s="116" t="s">
        <v>63</v>
      </c>
      <c r="B10" s="171">
        <v>94</v>
      </c>
      <c r="C10" s="171">
        <v>883</v>
      </c>
      <c r="D10" s="171">
        <v>94</v>
      </c>
      <c r="E10" s="171">
        <v>105.7</v>
      </c>
      <c r="F10" s="171">
        <v>156</v>
      </c>
      <c r="G10" s="171">
        <v>70</v>
      </c>
      <c r="H10" s="171">
        <v>105.7</v>
      </c>
      <c r="I10" s="171">
        <v>8.2</v>
      </c>
      <c r="J10" s="171">
        <v>90</v>
      </c>
      <c r="K10" s="171">
        <v>48.1</v>
      </c>
      <c r="L10" s="171">
        <v>157.4</v>
      </c>
      <c r="M10" s="171">
        <v>243</v>
      </c>
      <c r="N10" s="49"/>
    </row>
    <row r="11" spans="1:20" ht="15" customHeight="1">
      <c r="A11" s="116" t="s">
        <v>56</v>
      </c>
      <c r="B11" s="172">
        <v>0.8</v>
      </c>
      <c r="C11" s="172">
        <v>0.98</v>
      </c>
      <c r="D11" s="172">
        <v>0.95</v>
      </c>
      <c r="E11" s="172">
        <v>0.95</v>
      </c>
      <c r="F11" s="172">
        <v>0.8</v>
      </c>
      <c r="G11" s="172">
        <v>0.9</v>
      </c>
      <c r="H11" s="172">
        <v>0.95</v>
      </c>
      <c r="I11" s="172">
        <v>0.81</v>
      </c>
      <c r="J11" s="172">
        <v>0.9</v>
      </c>
      <c r="K11" s="172">
        <v>0.8</v>
      </c>
      <c r="L11" s="172">
        <v>0.85</v>
      </c>
      <c r="M11" s="172">
        <v>0.98</v>
      </c>
      <c r="N11" s="50"/>
      <c r="P11" s="160" t="s">
        <v>118</v>
      </c>
      <c r="Q11" s="162"/>
      <c r="R11" s="55"/>
      <c r="S11" s="55"/>
      <c r="T11" s="55"/>
    </row>
    <row r="12" spans="1:20" ht="15" customHeight="1">
      <c r="A12" s="116" t="s">
        <v>15</v>
      </c>
      <c r="B12" s="171">
        <v>57</v>
      </c>
      <c r="C12" s="171">
        <v>72</v>
      </c>
      <c r="D12" s="171">
        <v>351</v>
      </c>
      <c r="E12" s="171">
        <v>1</v>
      </c>
      <c r="F12" s="171">
        <v>57</v>
      </c>
      <c r="G12" s="171">
        <v>351</v>
      </c>
      <c r="H12" s="171">
        <v>1</v>
      </c>
      <c r="I12" s="171">
        <v>232</v>
      </c>
      <c r="J12" s="171">
        <v>16</v>
      </c>
      <c r="K12" s="171">
        <v>40</v>
      </c>
      <c r="L12" s="171">
        <v>1</v>
      </c>
      <c r="M12" s="171">
        <v>200</v>
      </c>
      <c r="N12" s="49"/>
      <c r="P12" s="160" t="s">
        <v>119</v>
      </c>
      <c r="Q12" s="162"/>
      <c r="R12" s="55"/>
      <c r="S12" s="55"/>
      <c r="T12" s="55"/>
    </row>
    <row r="13" spans="1:14" ht="15" customHeight="1">
      <c r="A13" s="116" t="s">
        <v>16</v>
      </c>
      <c r="B13" s="171">
        <v>3</v>
      </c>
      <c r="C13" s="171">
        <v>3</v>
      </c>
      <c r="D13" s="171">
        <v>3</v>
      </c>
      <c r="E13" s="171">
        <v>0</v>
      </c>
      <c r="F13" s="171">
        <v>3</v>
      </c>
      <c r="G13" s="171">
        <v>3</v>
      </c>
      <c r="H13" s="171">
        <v>0</v>
      </c>
      <c r="I13" s="171">
        <v>9.6</v>
      </c>
      <c r="J13" s="171">
        <v>3</v>
      </c>
      <c r="K13" s="171">
        <v>4</v>
      </c>
      <c r="L13" s="171">
        <v>0</v>
      </c>
      <c r="M13" s="171">
        <v>1.6</v>
      </c>
      <c r="N13" s="49"/>
    </row>
    <row r="14" spans="1:14" ht="25.5" customHeight="1">
      <c r="A14" s="165" t="s">
        <v>17</v>
      </c>
      <c r="B14" s="166">
        <v>300</v>
      </c>
      <c r="C14" s="166">
        <v>60</v>
      </c>
      <c r="D14" s="166">
        <v>120</v>
      </c>
      <c r="E14" s="166">
        <v>60</v>
      </c>
      <c r="F14" s="166">
        <v>120</v>
      </c>
      <c r="G14" s="166">
        <v>120</v>
      </c>
      <c r="H14" s="166">
        <v>60</v>
      </c>
      <c r="I14" s="166">
        <v>60</v>
      </c>
      <c r="J14" s="166">
        <v>60</v>
      </c>
      <c r="K14" s="166">
        <v>60</v>
      </c>
      <c r="L14" s="166">
        <v>60</v>
      </c>
      <c r="M14" s="166">
        <v>60</v>
      </c>
      <c r="N14" s="49">
        <f>SUM(B14:M14)</f>
        <v>1140</v>
      </c>
    </row>
    <row r="15" spans="1:14" ht="25.5" customHeight="1">
      <c r="A15" s="116" t="s">
        <v>18</v>
      </c>
      <c r="B15" s="171">
        <v>0.5</v>
      </c>
      <c r="C15" s="171">
        <v>0.25</v>
      </c>
      <c r="D15" s="171">
        <v>0.75</v>
      </c>
      <c r="E15" s="171">
        <v>0.2</v>
      </c>
      <c r="F15" s="171">
        <v>0.5</v>
      </c>
      <c r="G15" s="171">
        <v>0.33</v>
      </c>
      <c r="H15" s="171">
        <v>0.2</v>
      </c>
      <c r="I15" s="171">
        <v>0.6</v>
      </c>
      <c r="J15" s="171">
        <v>0</v>
      </c>
      <c r="K15" s="171">
        <v>0.33</v>
      </c>
      <c r="L15" s="171">
        <v>0.5</v>
      </c>
      <c r="M15" s="171">
        <v>0.1</v>
      </c>
      <c r="N15" s="49"/>
    </row>
    <row r="16" spans="1:14" ht="27" customHeight="1" thickBot="1">
      <c r="A16" s="173" t="s">
        <v>19</v>
      </c>
      <c r="B16" s="174">
        <v>0</v>
      </c>
      <c r="C16" s="174">
        <v>0.16</v>
      </c>
      <c r="D16" s="174">
        <v>1.5</v>
      </c>
      <c r="E16" s="174">
        <v>0.16</v>
      </c>
      <c r="F16" s="174">
        <v>0.5</v>
      </c>
      <c r="G16" s="174">
        <v>2</v>
      </c>
      <c r="H16" s="174">
        <v>0.16</v>
      </c>
      <c r="I16" s="174">
        <v>0.16</v>
      </c>
      <c r="J16" s="174">
        <v>0.16</v>
      </c>
      <c r="K16" s="174">
        <v>2.1</v>
      </c>
      <c r="L16" s="174">
        <v>0.16</v>
      </c>
      <c r="M16" s="174">
        <v>0.16</v>
      </c>
      <c r="N16" s="52"/>
    </row>
    <row r="17" ht="24" customHeight="1">
      <c r="A17" s="66" t="s">
        <v>89</v>
      </c>
    </row>
    <row r="18" spans="1:18" ht="12.75">
      <c r="A18" s="167" t="s">
        <v>57</v>
      </c>
      <c r="B18" s="169">
        <f>B12/(B12+B13)</f>
        <v>0.95</v>
      </c>
      <c r="C18" s="169">
        <f aca="true" t="shared" si="0" ref="C18:M18">C12/(C12+C13)</f>
        <v>0.96</v>
      </c>
      <c r="D18" s="169">
        <f t="shared" si="0"/>
        <v>0.9915254237288136</v>
      </c>
      <c r="E18" s="169">
        <f t="shared" si="0"/>
        <v>1</v>
      </c>
      <c r="F18" s="169">
        <f t="shared" si="0"/>
        <v>0.95</v>
      </c>
      <c r="G18" s="169">
        <f t="shared" si="0"/>
        <v>0.9915254237288136</v>
      </c>
      <c r="H18" s="169">
        <f t="shared" si="0"/>
        <v>1</v>
      </c>
      <c r="I18" s="169">
        <f t="shared" si="0"/>
        <v>0.9602649006622517</v>
      </c>
      <c r="J18" s="169">
        <f t="shared" si="0"/>
        <v>0.8421052631578947</v>
      </c>
      <c r="K18" s="169">
        <f t="shared" si="0"/>
        <v>0.9090909090909091</v>
      </c>
      <c r="L18" s="169">
        <f t="shared" si="0"/>
        <v>1</v>
      </c>
      <c r="M18" s="169">
        <f t="shared" si="0"/>
        <v>0.9920634920634921</v>
      </c>
      <c r="N18" s="54"/>
      <c r="O18" s="55"/>
      <c r="Q18" s="71" t="s">
        <v>90</v>
      </c>
      <c r="R18" t="s">
        <v>117</v>
      </c>
    </row>
    <row r="19" spans="1:28" ht="25.5">
      <c r="A19" s="40" t="s">
        <v>92</v>
      </c>
      <c r="B19" s="53">
        <f>1/B10</f>
        <v>0.010638297872340425</v>
      </c>
      <c r="C19" s="53">
        <f aca="true" t="shared" si="1" ref="C19:M19">1/C10</f>
        <v>0.0011325028312570782</v>
      </c>
      <c r="D19" s="53">
        <f t="shared" si="1"/>
        <v>0.010638297872340425</v>
      </c>
      <c r="E19" s="53">
        <f t="shared" si="1"/>
        <v>0.00946073793755913</v>
      </c>
      <c r="F19" s="53">
        <f t="shared" si="1"/>
        <v>0.00641025641025641</v>
      </c>
      <c r="G19" s="53">
        <f t="shared" si="1"/>
        <v>0.014285714285714285</v>
      </c>
      <c r="H19" s="53">
        <f t="shared" si="1"/>
        <v>0.00946073793755913</v>
      </c>
      <c r="I19" s="53">
        <f t="shared" si="1"/>
        <v>0.12195121951219513</v>
      </c>
      <c r="J19" s="53">
        <f t="shared" si="1"/>
        <v>0.011111111111111112</v>
      </c>
      <c r="K19" s="53">
        <f t="shared" si="1"/>
        <v>0.020790020790020788</v>
      </c>
      <c r="L19" s="53">
        <f t="shared" si="1"/>
        <v>0.0063532401524777635</v>
      </c>
      <c r="M19" s="53">
        <f t="shared" si="1"/>
        <v>0.00411522633744856</v>
      </c>
      <c r="N19" s="54"/>
      <c r="O19" s="55"/>
      <c r="P19" s="54" t="s">
        <v>94</v>
      </c>
      <c r="Q19" s="158">
        <f aca="true" t="shared" si="2" ref="Q19:AB21">B19*B$14+B$15</f>
        <v>3.6914893617021276</v>
      </c>
      <c r="R19" s="158">
        <f t="shared" si="2"/>
        <v>0.3179501698754247</v>
      </c>
      <c r="S19" s="159">
        <f t="shared" si="2"/>
        <v>2.026595744680851</v>
      </c>
      <c r="T19" s="159">
        <f t="shared" si="2"/>
        <v>0.7676442762535478</v>
      </c>
      <c r="U19" s="159">
        <f t="shared" si="2"/>
        <v>1.2692307692307692</v>
      </c>
      <c r="V19" s="159">
        <f t="shared" si="2"/>
        <v>2.044285714285714</v>
      </c>
      <c r="W19" s="159">
        <f t="shared" si="2"/>
        <v>0.7676442762535478</v>
      </c>
      <c r="X19" s="159">
        <f t="shared" si="2"/>
        <v>7.917073170731707</v>
      </c>
      <c r="Y19" s="159">
        <f t="shared" si="2"/>
        <v>0.6666666666666667</v>
      </c>
      <c r="Z19" s="159">
        <f t="shared" si="2"/>
        <v>1.5774012474012473</v>
      </c>
      <c r="AA19" s="159">
        <f t="shared" si="2"/>
        <v>0.8811944091486659</v>
      </c>
      <c r="AB19" s="159">
        <f t="shared" si="2"/>
        <v>0.3469135802469136</v>
      </c>
    </row>
    <row r="20" spans="1:29" ht="38.25">
      <c r="A20" s="40" t="s">
        <v>91</v>
      </c>
      <c r="B20" s="53">
        <f>1/(B10*B11)</f>
        <v>0.013297872340425532</v>
      </c>
      <c r="C20" s="53">
        <f aca="true" t="shared" si="3" ref="C20:M20">1/(C10*C11)</f>
        <v>0.001155615133935794</v>
      </c>
      <c r="D20" s="53">
        <f t="shared" si="3"/>
        <v>0.011198208286674132</v>
      </c>
      <c r="E20" s="53">
        <f t="shared" si="3"/>
        <v>0.009958671513220137</v>
      </c>
      <c r="F20" s="53">
        <f t="shared" si="3"/>
        <v>0.008012820512820512</v>
      </c>
      <c r="G20" s="53">
        <f t="shared" si="3"/>
        <v>0.015873015873015872</v>
      </c>
      <c r="H20" s="53">
        <f t="shared" si="3"/>
        <v>0.009958671513220137</v>
      </c>
      <c r="I20" s="53">
        <f t="shared" si="3"/>
        <v>0.15055706112616682</v>
      </c>
      <c r="J20" s="53">
        <f t="shared" si="3"/>
        <v>0.012345679012345678</v>
      </c>
      <c r="K20" s="53">
        <f t="shared" si="3"/>
        <v>0.025987525987525985</v>
      </c>
      <c r="L20" s="53">
        <f t="shared" si="3"/>
        <v>0.007474400179385604</v>
      </c>
      <c r="M20" s="53">
        <f t="shared" si="3"/>
        <v>0.004199210548416898</v>
      </c>
      <c r="N20" s="54"/>
      <c r="O20" s="55"/>
      <c r="P20" s="54" t="s">
        <v>94</v>
      </c>
      <c r="Q20" s="158">
        <f t="shared" si="2"/>
        <v>4.48936170212766</v>
      </c>
      <c r="R20" s="158">
        <f t="shared" si="2"/>
        <v>0.3193369080361476</v>
      </c>
      <c r="S20" s="159">
        <f t="shared" si="2"/>
        <v>2.0937849944008957</v>
      </c>
      <c r="T20" s="159">
        <f t="shared" si="2"/>
        <v>0.7975202907932082</v>
      </c>
      <c r="U20" s="159">
        <f t="shared" si="2"/>
        <v>1.4615384615384615</v>
      </c>
      <c r="V20" s="159">
        <f t="shared" si="2"/>
        <v>2.2347619047619047</v>
      </c>
      <c r="W20" s="159">
        <f t="shared" si="2"/>
        <v>0.7975202907932082</v>
      </c>
      <c r="X20" s="159">
        <f t="shared" si="2"/>
        <v>9.633423667570009</v>
      </c>
      <c r="Y20" s="159">
        <f t="shared" si="2"/>
        <v>0.7407407407407407</v>
      </c>
      <c r="Z20" s="159">
        <f t="shared" si="2"/>
        <v>1.8892515592515593</v>
      </c>
      <c r="AA20" s="159">
        <f t="shared" si="2"/>
        <v>0.9484640107631362</v>
      </c>
      <c r="AB20" s="159">
        <f t="shared" si="2"/>
        <v>0.3519526329050139</v>
      </c>
      <c r="AC20" t="s">
        <v>95</v>
      </c>
    </row>
    <row r="21" spans="1:29" ht="38.25">
      <c r="A21" s="40" t="s">
        <v>154</v>
      </c>
      <c r="B21" s="53">
        <f>B20/B18</f>
        <v>0.013997760358342666</v>
      </c>
      <c r="C21" s="53">
        <f aca="true" t="shared" si="4" ref="C21:M21">C20/C18</f>
        <v>0.001203765764516452</v>
      </c>
      <c r="D21" s="53">
        <f t="shared" si="4"/>
        <v>0.011293919468611517</v>
      </c>
      <c r="E21" s="53">
        <f t="shared" si="4"/>
        <v>0.009958671513220137</v>
      </c>
      <c r="F21" s="53">
        <f t="shared" si="4"/>
        <v>0.008434547908232119</v>
      </c>
      <c r="G21" s="53">
        <f t="shared" si="4"/>
        <v>0.016008682675349342</v>
      </c>
      <c r="H21" s="53">
        <f t="shared" si="4"/>
        <v>0.009958671513220137</v>
      </c>
      <c r="I21" s="53">
        <f t="shared" si="4"/>
        <v>0.15678700848311164</v>
      </c>
      <c r="J21" s="53">
        <f t="shared" si="4"/>
        <v>0.014660493827160493</v>
      </c>
      <c r="K21" s="53">
        <f t="shared" si="4"/>
        <v>0.028586278586278584</v>
      </c>
      <c r="L21" s="53">
        <f t="shared" si="4"/>
        <v>0.007474400179385604</v>
      </c>
      <c r="M21" s="53">
        <f t="shared" si="4"/>
        <v>0.004232804232804233</v>
      </c>
      <c r="N21" s="3"/>
      <c r="O21" s="40" t="s">
        <v>120</v>
      </c>
      <c r="P21" s="54" t="s">
        <v>94</v>
      </c>
      <c r="Q21" s="158">
        <f t="shared" si="2"/>
        <v>4.6993281075028</v>
      </c>
      <c r="R21" s="158">
        <f t="shared" si="2"/>
        <v>0.32222594587098713</v>
      </c>
      <c r="S21" s="159">
        <f t="shared" si="2"/>
        <v>2.105270336233382</v>
      </c>
      <c r="T21" s="159">
        <f t="shared" si="2"/>
        <v>0.7975202907932082</v>
      </c>
      <c r="U21" s="159">
        <f t="shared" si="2"/>
        <v>1.5121457489878543</v>
      </c>
      <c r="V21" s="159">
        <f t="shared" si="2"/>
        <v>2.2510419210419212</v>
      </c>
      <c r="W21" s="159">
        <f t="shared" si="2"/>
        <v>0.7975202907932082</v>
      </c>
      <c r="X21" s="159">
        <f t="shared" si="2"/>
        <v>10.007220508986698</v>
      </c>
      <c r="Y21" s="159">
        <f t="shared" si="2"/>
        <v>0.8796296296296295</v>
      </c>
      <c r="Z21" s="159">
        <f t="shared" si="2"/>
        <v>2.045176715176715</v>
      </c>
      <c r="AA21" s="159">
        <f t="shared" si="2"/>
        <v>0.9484640107631362</v>
      </c>
      <c r="AB21" s="159">
        <f t="shared" si="2"/>
        <v>0.35396825396825404</v>
      </c>
      <c r="AC21" t="s">
        <v>96</v>
      </c>
    </row>
    <row r="22" spans="1:28" ht="13.5" thickBot="1">
      <c r="A22" s="77"/>
      <c r="B22" s="170" t="s">
        <v>155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3"/>
      <c r="P22" s="160"/>
      <c r="Q22" s="161" t="s">
        <v>99</v>
      </c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</row>
    <row r="23" spans="1:28" ht="13.5" thickBot="1">
      <c r="A23" s="175" t="s">
        <v>103</v>
      </c>
      <c r="B23" s="176">
        <f>SUM(B21:M21)+SUM(B16:M16)+SUM(B15:M15)</f>
        <v>11.762597004510233</v>
      </c>
      <c r="C23" s="63" t="s">
        <v>105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3"/>
      <c r="P23" s="160"/>
      <c r="Q23" s="161" t="s">
        <v>98</v>
      </c>
      <c r="R23" s="55"/>
      <c r="S23" s="162"/>
      <c r="T23" s="55"/>
      <c r="U23" s="55"/>
      <c r="V23" s="55"/>
      <c r="W23" s="55"/>
      <c r="X23" s="55"/>
      <c r="Y23" s="55"/>
      <c r="Z23" s="55"/>
      <c r="AA23" s="55"/>
      <c r="AB23" s="55"/>
    </row>
    <row r="24" spans="1:28" ht="12.75">
      <c r="A24" s="85" t="s">
        <v>104</v>
      </c>
      <c r="B24" s="86">
        <v>1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3"/>
      <c r="P24" s="160"/>
      <c r="Q24" s="183" t="s">
        <v>97</v>
      </c>
      <c r="R24" s="184">
        <f>SUM(Q21:AB21)+SUM(B16:M16)</f>
        <v>33.939511759747795</v>
      </c>
      <c r="S24" s="163" t="s">
        <v>100</v>
      </c>
      <c r="T24" s="55"/>
      <c r="U24" s="55"/>
      <c r="V24" s="55"/>
      <c r="W24" s="55"/>
      <c r="X24" s="55"/>
      <c r="Y24" s="55"/>
      <c r="Z24" s="55"/>
      <c r="AA24" s="55"/>
      <c r="AB24" s="55"/>
    </row>
    <row r="25" spans="1:28" ht="12.75">
      <c r="A25" s="46" t="s">
        <v>31</v>
      </c>
      <c r="B25" s="47">
        <v>1</v>
      </c>
      <c r="C25" s="9">
        <f>B24/B23</f>
        <v>0.08501523937414174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3"/>
      <c r="P25" s="160"/>
      <c r="Q25" s="185"/>
      <c r="R25" s="186" t="s">
        <v>101</v>
      </c>
      <c r="S25" s="187">
        <f>R24/19.5</f>
        <v>1.7404877825511689</v>
      </c>
      <c r="T25" s="188" t="s">
        <v>102</v>
      </c>
      <c r="U25" s="188"/>
      <c r="V25" s="188"/>
      <c r="W25" s="55"/>
      <c r="X25" s="55"/>
      <c r="Y25" s="55"/>
      <c r="Z25" s="55"/>
      <c r="AA25" s="55"/>
      <c r="AB25" s="55"/>
    </row>
    <row r="26" spans="1:28" ht="12.75">
      <c r="A26" s="77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131"/>
      <c r="P26" s="160"/>
      <c r="Q26" s="189" t="s">
        <v>104</v>
      </c>
      <c r="R26" s="190">
        <v>300</v>
      </c>
      <c r="S26" s="191">
        <v>60</v>
      </c>
      <c r="T26" s="55"/>
      <c r="U26" s="55"/>
      <c r="V26" s="55"/>
      <c r="W26" s="55"/>
      <c r="X26" s="55"/>
      <c r="Y26" s="55"/>
      <c r="Z26" s="55"/>
      <c r="AA26" s="55"/>
      <c r="AB26" s="55"/>
    </row>
    <row r="27" spans="14:28" ht="12.75">
      <c r="N27" s="140"/>
      <c r="P27" s="160"/>
      <c r="Q27" s="189" t="s">
        <v>31</v>
      </c>
      <c r="R27" s="190">
        <f>R26/R24</f>
        <v>8.839255028877567</v>
      </c>
      <c r="S27" s="191">
        <f>R26/R24</f>
        <v>8.839255028877567</v>
      </c>
      <c r="T27" s="55"/>
      <c r="U27" s="55"/>
      <c r="V27" s="55"/>
      <c r="W27" s="55"/>
      <c r="X27" s="55"/>
      <c r="Y27" s="55"/>
      <c r="Z27" s="55"/>
      <c r="AA27" s="55"/>
      <c r="AB27" s="55"/>
    </row>
    <row r="28" spans="1:19" ht="12.75">
      <c r="A28" s="194"/>
      <c r="B28" s="194" t="s">
        <v>184</v>
      </c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40"/>
      <c r="Q28" s="92"/>
      <c r="R28" s="123"/>
      <c r="S28" s="14"/>
    </row>
    <row r="29" spans="1:14" ht="13.5" thickBot="1">
      <c r="A29" s="193" t="s">
        <v>183</v>
      </c>
      <c r="B29" s="192">
        <f>($C$30/(B14))*(B$14*B$21+B15)</f>
        <v>1.1246255300006702</v>
      </c>
      <c r="C29" s="192">
        <f aca="true" t="shared" si="5" ref="C29:M29">($C$30/(C14))*(C$14*C$21+C15)</f>
        <v>0.38556950787981364</v>
      </c>
      <c r="D29" s="192">
        <f t="shared" si="5"/>
        <v>1.259563449028519</v>
      </c>
      <c r="E29" s="192">
        <f t="shared" si="5"/>
        <v>0.9542977838551209</v>
      </c>
      <c r="F29" s="192">
        <f t="shared" si="5"/>
        <v>0.9047025848645281</v>
      </c>
      <c r="G29" s="192">
        <f t="shared" si="5"/>
        <v>1.3467772177173887</v>
      </c>
      <c r="H29" s="192">
        <f t="shared" si="5"/>
        <v>0.9542977838551209</v>
      </c>
      <c r="I29" s="192">
        <f t="shared" si="5"/>
        <v>11.974451891095194</v>
      </c>
      <c r="J29" s="192">
        <f t="shared" si="5"/>
        <v>1.0525482747704968</v>
      </c>
      <c r="K29" s="192">
        <f t="shared" si="5"/>
        <v>2.4472200010661544</v>
      </c>
      <c r="L29" s="192">
        <f t="shared" si="5"/>
        <v>1.1349142009131545</v>
      </c>
      <c r="M29" s="192">
        <f t="shared" si="5"/>
        <v>0.4235517568850903</v>
      </c>
      <c r="N29" s="133"/>
    </row>
    <row r="30" spans="1:28" ht="13.5" thickBot="1">
      <c r="A30" s="56" t="s">
        <v>70</v>
      </c>
      <c r="B30" s="195" t="s">
        <v>69</v>
      </c>
      <c r="C30" s="196">
        <f>G30/19.5</f>
        <v>71.7948717948718</v>
      </c>
      <c r="D30" s="55" t="s">
        <v>79</v>
      </c>
      <c r="E30" s="42"/>
      <c r="F30" s="197" t="s">
        <v>69</v>
      </c>
      <c r="G30" s="198">
        <v>1400</v>
      </c>
      <c r="H30" s="145" t="s">
        <v>76</v>
      </c>
      <c r="I30" s="41"/>
      <c r="J30" s="41"/>
      <c r="K30" s="41"/>
      <c r="L30" s="41"/>
      <c r="M30" s="42"/>
      <c r="N30" s="3"/>
      <c r="P30" s="160"/>
      <c r="Q30" s="161" t="s">
        <v>90</v>
      </c>
      <c r="R30" s="55" t="s">
        <v>122</v>
      </c>
      <c r="S30" s="55"/>
      <c r="T30" s="55"/>
      <c r="U30" s="55"/>
      <c r="V30" s="55"/>
      <c r="W30" s="55"/>
      <c r="X30" s="55"/>
      <c r="Y30" s="55"/>
      <c r="Z30" s="55"/>
      <c r="AA30" s="55"/>
      <c r="AB30" s="55"/>
    </row>
    <row r="31" spans="1:28" ht="12.75">
      <c r="A31" s="167" t="s">
        <v>67</v>
      </c>
      <c r="B31" s="168">
        <f aca="true" t="shared" si="6" ref="B31:M31">($C$30*Q$21/B$14)/B$9</f>
        <v>0.3748751766668901</v>
      </c>
      <c r="C31" s="168">
        <f t="shared" si="6"/>
        <v>0.3855695078798137</v>
      </c>
      <c r="D31" s="168">
        <f t="shared" si="6"/>
        <v>0.6297817245142596</v>
      </c>
      <c r="E31" s="168">
        <f t="shared" si="6"/>
        <v>0.4771488919275605</v>
      </c>
      <c r="F31" s="168">
        <f t="shared" si="6"/>
        <v>0.45235129243226413</v>
      </c>
      <c r="G31" s="168">
        <f t="shared" si="6"/>
        <v>0.44892573923912954</v>
      </c>
      <c r="H31" s="168">
        <f t="shared" si="6"/>
        <v>0.4771488919275605</v>
      </c>
      <c r="I31" s="168">
        <f t="shared" si="6"/>
        <v>0.38627264164823205</v>
      </c>
      <c r="J31" s="168">
        <f t="shared" si="6"/>
        <v>0.5262741373852484</v>
      </c>
      <c r="K31" s="168">
        <f t="shared" si="6"/>
        <v>0.6118050002665387</v>
      </c>
      <c r="L31" s="168">
        <f t="shared" si="6"/>
        <v>0.5674571004565773</v>
      </c>
      <c r="M31" s="168">
        <f t="shared" si="6"/>
        <v>0.42355175688509034</v>
      </c>
      <c r="N31" s="3"/>
      <c r="P31" s="54" t="s">
        <v>94</v>
      </c>
      <c r="Q31" s="159">
        <f>(B19*B$14)/B$9+B$15</f>
        <v>1.5638297872340425</v>
      </c>
      <c r="R31" s="159">
        <f aca="true" t="shared" si="7" ref="R31:AB31">(C19*C$14)/C$9+C$15</f>
        <v>0.3179501698754247</v>
      </c>
      <c r="S31" s="159">
        <f t="shared" si="7"/>
        <v>1.3882978723404256</v>
      </c>
      <c r="T31" s="159">
        <f t="shared" si="7"/>
        <v>0.4838221381267739</v>
      </c>
      <c r="U31" s="159">
        <f t="shared" si="7"/>
        <v>0.8846153846153846</v>
      </c>
      <c r="V31" s="159">
        <f t="shared" si="7"/>
        <v>0.9014285714285715</v>
      </c>
      <c r="W31" s="159">
        <f t="shared" si="7"/>
        <v>0.4838221381267739</v>
      </c>
      <c r="X31" s="159">
        <f t="shared" si="7"/>
        <v>0.8360346184107003</v>
      </c>
      <c r="Y31" s="159">
        <f t="shared" si="7"/>
        <v>0.33333333333333337</v>
      </c>
      <c r="Z31" s="159">
        <f t="shared" si="7"/>
        <v>0.6418503118503118</v>
      </c>
      <c r="AA31" s="159">
        <f t="shared" si="7"/>
        <v>0.6905972045743329</v>
      </c>
      <c r="AB31" s="159">
        <f t="shared" si="7"/>
        <v>0.3469135802469136</v>
      </c>
    </row>
    <row r="32" spans="1:29" ht="13.5" thickBot="1">
      <c r="A32" s="2" t="s">
        <v>106</v>
      </c>
      <c r="B32" s="9">
        <f>SQRT(B37)</f>
        <v>0.8962722521647529</v>
      </c>
      <c r="C32" s="9">
        <f aca="true" t="shared" si="8" ref="C32:M32">SQRT(C31)</f>
        <v>0.6209424352384154</v>
      </c>
      <c r="D32" s="9">
        <f t="shared" si="8"/>
        <v>0.7935878807758215</v>
      </c>
      <c r="E32" s="9">
        <f t="shared" si="8"/>
        <v>0.6907596484505739</v>
      </c>
      <c r="F32" s="78">
        <f t="shared" si="8"/>
        <v>0.6725706598062869</v>
      </c>
      <c r="G32" s="78">
        <f t="shared" si="8"/>
        <v>0.6700192081120732</v>
      </c>
      <c r="H32" s="9">
        <f t="shared" si="8"/>
        <v>0.6907596484505739</v>
      </c>
      <c r="I32" s="9">
        <f t="shared" si="8"/>
        <v>0.6215083600791159</v>
      </c>
      <c r="J32" s="9">
        <f t="shared" si="8"/>
        <v>0.7254475428211529</v>
      </c>
      <c r="K32" s="9">
        <f t="shared" si="8"/>
        <v>0.7821796470546512</v>
      </c>
      <c r="L32" s="9">
        <f t="shared" si="8"/>
        <v>0.7532974847008168</v>
      </c>
      <c r="M32" s="9">
        <f t="shared" si="8"/>
        <v>0.6508085408821018</v>
      </c>
      <c r="N32" s="3"/>
      <c r="P32" s="54" t="s">
        <v>94</v>
      </c>
      <c r="Q32" s="159">
        <f>(B20*B$14)/B9+B$15</f>
        <v>1.8297872340425532</v>
      </c>
      <c r="R32" s="159">
        <f aca="true" t="shared" si="9" ref="R32:AB32">(C20*C$14)/C9+C$15</f>
        <v>0.3193369080361476</v>
      </c>
      <c r="S32" s="159">
        <f t="shared" si="9"/>
        <v>1.4218924972004479</v>
      </c>
      <c r="T32" s="159">
        <f t="shared" si="9"/>
        <v>0.4987601453966041</v>
      </c>
      <c r="U32" s="159">
        <f>(F20*F$14)/F9+F$15</f>
        <v>0.9807692307692307</v>
      </c>
      <c r="V32" s="159">
        <f t="shared" si="9"/>
        <v>0.964920634920635</v>
      </c>
      <c r="W32" s="159">
        <f t="shared" si="9"/>
        <v>0.4987601453966041</v>
      </c>
      <c r="X32" s="159">
        <f t="shared" si="9"/>
        <v>0.8914007634700003</v>
      </c>
      <c r="Y32" s="159">
        <f t="shared" si="9"/>
        <v>0.37037037037037035</v>
      </c>
      <c r="Z32" s="159">
        <f t="shared" si="9"/>
        <v>0.7198128898128898</v>
      </c>
      <c r="AA32" s="159">
        <f t="shared" si="9"/>
        <v>0.7242320053815681</v>
      </c>
      <c r="AB32" s="159">
        <f t="shared" si="9"/>
        <v>0.3519526329050139</v>
      </c>
      <c r="AC32" t="s">
        <v>95</v>
      </c>
    </row>
    <row r="33" spans="1:29" ht="13.5" thickBot="1">
      <c r="A33" s="56" t="s">
        <v>71</v>
      </c>
      <c r="B33" s="195" t="s">
        <v>69</v>
      </c>
      <c r="C33" s="196">
        <f>G33/19.5</f>
        <v>102.56410256410257</v>
      </c>
      <c r="D33" s="59" t="s">
        <v>80</v>
      </c>
      <c r="E33" s="55"/>
      <c r="F33" s="197" t="s">
        <v>69</v>
      </c>
      <c r="G33" s="198">
        <v>2000</v>
      </c>
      <c r="H33" s="146" t="s">
        <v>77</v>
      </c>
      <c r="I33" s="60"/>
      <c r="J33" s="60"/>
      <c r="K33" s="60"/>
      <c r="L33" s="60"/>
      <c r="M33" s="61"/>
      <c r="N33" s="3"/>
      <c r="O33" s="199" t="s">
        <v>121</v>
      </c>
      <c r="P33" s="54" t="s">
        <v>94</v>
      </c>
      <c r="Q33" s="159">
        <f>(B21*B$14)/B9+B$15</f>
        <v>1.8997760358342666</v>
      </c>
      <c r="R33" s="159">
        <f aca="true" t="shared" si="10" ref="R33:AB33">(C21*C$14)/C9+C$15</f>
        <v>0.32222594587098713</v>
      </c>
      <c r="S33" s="159">
        <f t="shared" si="10"/>
        <v>1.427635168116691</v>
      </c>
      <c r="T33" s="159">
        <f t="shared" si="10"/>
        <v>0.4987601453966041</v>
      </c>
      <c r="U33" s="159">
        <f t="shared" si="10"/>
        <v>1.0060728744939271</v>
      </c>
      <c r="V33" s="159">
        <f t="shared" si="10"/>
        <v>0.9703473070139736</v>
      </c>
      <c r="W33" s="159">
        <f t="shared" si="10"/>
        <v>0.4987601453966041</v>
      </c>
      <c r="X33" s="159">
        <f t="shared" si="10"/>
        <v>0.9034587260963451</v>
      </c>
      <c r="Y33" s="159">
        <f t="shared" si="10"/>
        <v>0.43981481481481477</v>
      </c>
      <c r="Z33" s="159">
        <f t="shared" si="10"/>
        <v>0.7587941787941788</v>
      </c>
      <c r="AA33" s="159">
        <f t="shared" si="10"/>
        <v>0.7242320053815681</v>
      </c>
      <c r="AB33" s="159">
        <f t="shared" si="10"/>
        <v>0.35396825396825404</v>
      </c>
      <c r="AC33" t="s">
        <v>96</v>
      </c>
    </row>
    <row r="34" spans="1:28" ht="12.75">
      <c r="A34" s="167" t="s">
        <v>67</v>
      </c>
      <c r="B34" s="168">
        <f aca="true" t="shared" si="11" ref="B34:M34">($C$33*Q$21/B$14)/B$9</f>
        <v>0.5355359666669858</v>
      </c>
      <c r="C34" s="168">
        <f t="shared" si="11"/>
        <v>0.5508135826854481</v>
      </c>
      <c r="D34" s="168">
        <f t="shared" si="11"/>
        <v>0.8996881778775137</v>
      </c>
      <c r="E34" s="168">
        <f t="shared" si="11"/>
        <v>0.6816412741822293</v>
      </c>
      <c r="F34" s="168">
        <f t="shared" si="11"/>
        <v>0.6462161320460916</v>
      </c>
      <c r="G34" s="168">
        <f t="shared" si="11"/>
        <v>0.6413224846273281</v>
      </c>
      <c r="H34" s="168">
        <f t="shared" si="11"/>
        <v>0.6816412741822293</v>
      </c>
      <c r="I34" s="168">
        <f t="shared" si="11"/>
        <v>0.5518180594974744</v>
      </c>
      <c r="J34" s="168">
        <f t="shared" si="11"/>
        <v>0.7518201962646407</v>
      </c>
      <c r="K34" s="168">
        <f t="shared" si="11"/>
        <v>0.8740071432379124</v>
      </c>
      <c r="L34" s="168">
        <f t="shared" si="11"/>
        <v>0.8106530006522533</v>
      </c>
      <c r="M34" s="168">
        <f t="shared" si="11"/>
        <v>0.605073938407272</v>
      </c>
      <c r="N34" s="3"/>
      <c r="P34" s="160"/>
      <c r="Q34" s="161" t="s">
        <v>99</v>
      </c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</row>
    <row r="35" spans="1:28" ht="13.5" thickBot="1">
      <c r="A35" s="2" t="s">
        <v>106</v>
      </c>
      <c r="B35" s="9">
        <f>SQRT(B34)</f>
        <v>0.7318032294729135</v>
      </c>
      <c r="C35" s="9">
        <f aca="true" t="shared" si="12" ref="C35:M35">SQRT(C34)</f>
        <v>0.742168163346723</v>
      </c>
      <c r="D35" s="9">
        <f t="shared" si="12"/>
        <v>0.9485189391243137</v>
      </c>
      <c r="E35" s="9">
        <f t="shared" si="12"/>
        <v>0.8256156940018942</v>
      </c>
      <c r="F35" s="78">
        <f t="shared" si="12"/>
        <v>0.8038756943993839</v>
      </c>
      <c r="G35" s="78">
        <f t="shared" si="12"/>
        <v>0.800826126339125</v>
      </c>
      <c r="H35" s="9">
        <f t="shared" si="12"/>
        <v>0.8256156940018942</v>
      </c>
      <c r="I35" s="9">
        <f t="shared" si="12"/>
        <v>0.7428445729070614</v>
      </c>
      <c r="J35" s="9">
        <f t="shared" si="12"/>
        <v>0.8670756577511796</v>
      </c>
      <c r="K35" s="9">
        <f t="shared" si="12"/>
        <v>0.9348834917987976</v>
      </c>
      <c r="L35" s="9">
        <f t="shared" si="12"/>
        <v>0.9003627050540539</v>
      </c>
      <c r="M35" s="9">
        <f t="shared" si="12"/>
        <v>0.7778649872614604</v>
      </c>
      <c r="N35" s="3"/>
      <c r="P35" s="160"/>
      <c r="Q35" s="161" t="s">
        <v>98</v>
      </c>
      <c r="R35" s="55"/>
      <c r="S35" s="162"/>
      <c r="T35" s="55"/>
      <c r="U35" s="55"/>
      <c r="V35" s="55"/>
      <c r="W35" s="55"/>
      <c r="X35" s="55"/>
      <c r="Y35" s="55"/>
      <c r="Z35" s="55"/>
      <c r="AA35" s="55"/>
      <c r="AB35" s="55"/>
    </row>
    <row r="36" spans="1:28" ht="13.5" thickBot="1">
      <c r="A36" s="56" t="s">
        <v>71</v>
      </c>
      <c r="B36" s="195" t="s">
        <v>69</v>
      </c>
      <c r="C36" s="196">
        <f>G36/19.5</f>
        <v>153.84615384615384</v>
      </c>
      <c r="D36" s="59" t="s">
        <v>81</v>
      </c>
      <c r="E36" s="61"/>
      <c r="F36" s="197" t="s">
        <v>69</v>
      </c>
      <c r="G36" s="198">
        <v>3000</v>
      </c>
      <c r="H36" s="146" t="s">
        <v>78</v>
      </c>
      <c r="I36" s="60"/>
      <c r="J36" s="60"/>
      <c r="K36" s="60"/>
      <c r="L36" s="60"/>
      <c r="M36" s="61"/>
      <c r="N36" s="3"/>
      <c r="P36" s="160"/>
      <c r="Q36" s="183" t="s">
        <v>97</v>
      </c>
      <c r="R36" s="184">
        <f>SUM(Q33:AB33)+SUM(B16:M16)</f>
        <v>17.023845601178216</v>
      </c>
      <c r="S36" s="163" t="s">
        <v>100</v>
      </c>
      <c r="T36" s="55"/>
      <c r="U36" s="55"/>
      <c r="V36" s="55"/>
      <c r="W36" s="55"/>
      <c r="X36" s="55"/>
      <c r="Y36" s="55"/>
      <c r="Z36" s="55"/>
      <c r="AA36" s="55"/>
      <c r="AB36" s="55"/>
    </row>
    <row r="37" spans="1:28" ht="12.75">
      <c r="A37" s="167" t="s">
        <v>67</v>
      </c>
      <c r="B37" s="168">
        <f>($C$36*Q$21/B$14)/B$9</f>
        <v>0.8033039500004785</v>
      </c>
      <c r="C37" s="168">
        <f aca="true" t="shared" si="13" ref="C37:M37">($C$36*R$21/C$14)/C$9</f>
        <v>0.826220374028172</v>
      </c>
      <c r="D37" s="48">
        <f t="shared" si="13"/>
        <v>1.3495322668162706</v>
      </c>
      <c r="E37" s="48">
        <f t="shared" si="13"/>
        <v>1.0224619112733437</v>
      </c>
      <c r="F37" s="115">
        <f t="shared" si="13"/>
        <v>0.9693241980691373</v>
      </c>
      <c r="G37" s="115">
        <f t="shared" si="13"/>
        <v>0.961983726940992</v>
      </c>
      <c r="H37" s="48">
        <f t="shared" si="13"/>
        <v>1.0224619112733437</v>
      </c>
      <c r="I37" s="168">
        <f t="shared" si="13"/>
        <v>0.8277270892462115</v>
      </c>
      <c r="J37" s="48">
        <f t="shared" si="13"/>
        <v>1.127730294396961</v>
      </c>
      <c r="K37" s="48">
        <f t="shared" si="13"/>
        <v>1.3110107148568686</v>
      </c>
      <c r="L37" s="48">
        <f t="shared" si="13"/>
        <v>1.2159795009783798</v>
      </c>
      <c r="M37" s="115">
        <f t="shared" si="13"/>
        <v>0.9076109076109078</v>
      </c>
      <c r="N37" s="3"/>
      <c r="P37" s="160"/>
      <c r="Q37" s="185"/>
      <c r="R37" s="186" t="s">
        <v>101</v>
      </c>
      <c r="S37" s="187">
        <f>R36/19.5</f>
        <v>0.8730177231373444</v>
      </c>
      <c r="T37" s="188" t="s">
        <v>102</v>
      </c>
      <c r="U37" s="188"/>
      <c r="V37" s="188"/>
      <c r="W37" s="55"/>
      <c r="X37" s="55"/>
      <c r="Y37" s="55"/>
      <c r="Z37" s="55"/>
      <c r="AA37" s="55"/>
      <c r="AB37" s="55"/>
    </row>
    <row r="38" spans="1:28" ht="12.75">
      <c r="A38" s="2" t="s">
        <v>106</v>
      </c>
      <c r="B38" s="9">
        <f>SQRT(B37)</f>
        <v>0.8962722521647529</v>
      </c>
      <c r="C38" s="9">
        <f aca="true" t="shared" si="14" ref="C38:M38">SQRT(C37)</f>
        <v>0.908966651769014</v>
      </c>
      <c r="D38" s="9">
        <f t="shared" si="14"/>
        <v>1.161693706110294</v>
      </c>
      <c r="E38" s="9">
        <f t="shared" si="14"/>
        <v>1.0111685869692273</v>
      </c>
      <c r="F38" s="9">
        <f t="shared" si="14"/>
        <v>0.9845426339519977</v>
      </c>
      <c r="G38" s="9">
        <f t="shared" si="14"/>
        <v>0.9808076911102359</v>
      </c>
      <c r="H38" s="9">
        <f t="shared" si="14"/>
        <v>1.0111685869692273</v>
      </c>
      <c r="I38" s="9">
        <f t="shared" si="14"/>
        <v>0.9097950809089987</v>
      </c>
      <c r="J38" s="9">
        <f t="shared" si="14"/>
        <v>1.0619464649392458</v>
      </c>
      <c r="K38" s="9">
        <f t="shared" si="14"/>
        <v>1.144993761929238</v>
      </c>
      <c r="L38" s="9">
        <f t="shared" si="14"/>
        <v>1.1027146054072103</v>
      </c>
      <c r="M38" s="9">
        <f t="shared" si="14"/>
        <v>0.9526861537835573</v>
      </c>
      <c r="N38" s="3"/>
      <c r="P38" s="160"/>
      <c r="Q38" s="189" t="s">
        <v>104</v>
      </c>
      <c r="R38" s="190">
        <v>300</v>
      </c>
      <c r="S38" s="191">
        <v>60</v>
      </c>
      <c r="T38" s="55"/>
      <c r="U38" s="55"/>
      <c r="V38" s="55"/>
      <c r="W38" s="55"/>
      <c r="X38" s="55"/>
      <c r="Y38" s="55"/>
      <c r="Z38" s="55"/>
      <c r="AA38" s="55"/>
      <c r="AB38" s="55"/>
    </row>
    <row r="39" spans="2:28" ht="12.75">
      <c r="B39" t="s">
        <v>182</v>
      </c>
      <c r="P39" s="160"/>
      <c r="Q39" s="189" t="s">
        <v>31</v>
      </c>
      <c r="R39" s="190">
        <f>R38/R36</f>
        <v>17.622340276584573</v>
      </c>
      <c r="S39" s="191">
        <f>R38/R36</f>
        <v>17.622340276584573</v>
      </c>
      <c r="T39" s="55"/>
      <c r="U39" s="55"/>
      <c r="V39" s="55"/>
      <c r="W39" s="55"/>
      <c r="X39" s="55"/>
      <c r="Y39" s="55"/>
      <c r="Z39" s="55"/>
      <c r="AA39" s="55"/>
      <c r="AB39" s="55"/>
    </row>
    <row r="40" spans="16:28" ht="12.75">
      <c r="P40" s="160"/>
      <c r="Q40" s="200"/>
      <c r="R40" s="201"/>
      <c r="S40" s="164"/>
      <c r="T40" s="55"/>
      <c r="U40" s="55"/>
      <c r="V40" s="55"/>
      <c r="W40" s="55"/>
      <c r="X40" s="55"/>
      <c r="Y40" s="55"/>
      <c r="Z40" s="55"/>
      <c r="AA40" s="55"/>
      <c r="AB40" s="55"/>
    </row>
    <row r="41" spans="1:13" ht="12.75">
      <c r="A41" s="14" t="s">
        <v>123</v>
      </c>
      <c r="B41" s="134"/>
      <c r="C41" s="25"/>
      <c r="D41" s="25"/>
      <c r="E41" s="137" t="s">
        <v>127</v>
      </c>
      <c r="F41" s="135" t="s">
        <v>128</v>
      </c>
      <c r="G41" s="135"/>
      <c r="I41" s="135" t="s">
        <v>129</v>
      </c>
      <c r="M41" s="135" t="s">
        <v>130</v>
      </c>
    </row>
    <row r="42" spans="1:28" ht="12.75">
      <c r="A42" s="153"/>
      <c r="B42" s="135" t="s">
        <v>124</v>
      </c>
      <c r="C42" s="25"/>
      <c r="D42" s="25"/>
      <c r="E42" s="25" t="s">
        <v>144</v>
      </c>
      <c r="F42" s="135" t="s">
        <v>131</v>
      </c>
      <c r="G42" s="135" t="s">
        <v>140</v>
      </c>
      <c r="I42" s="135" t="s">
        <v>134</v>
      </c>
      <c r="J42" s="135" t="s">
        <v>141</v>
      </c>
      <c r="M42" s="135" t="s">
        <v>137</v>
      </c>
      <c r="P42" s="5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</row>
    <row r="43" spans="1:28" ht="12.75">
      <c r="A43" s="153"/>
      <c r="B43" s="135" t="s">
        <v>125</v>
      </c>
      <c r="C43" s="12"/>
      <c r="D43" s="12"/>
      <c r="E43" s="12" t="s">
        <v>145</v>
      </c>
      <c r="F43" s="136" t="s">
        <v>132</v>
      </c>
      <c r="G43" s="136" t="s">
        <v>142</v>
      </c>
      <c r="I43" s="136" t="s">
        <v>135</v>
      </c>
      <c r="J43" s="136" t="s">
        <v>143</v>
      </c>
      <c r="M43" s="136" t="s">
        <v>138</v>
      </c>
      <c r="P43" s="5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</row>
    <row r="44" spans="1:28" ht="12.75">
      <c r="A44" s="153"/>
      <c r="B44" s="135" t="s">
        <v>126</v>
      </c>
      <c r="C44" s="12"/>
      <c r="D44" s="12"/>
      <c r="E44" s="12" t="s">
        <v>148</v>
      </c>
      <c r="F44" s="136" t="s">
        <v>133</v>
      </c>
      <c r="G44" s="136" t="s">
        <v>146</v>
      </c>
      <c r="I44" s="136" t="s">
        <v>136</v>
      </c>
      <c r="J44" s="136" t="s">
        <v>147</v>
      </c>
      <c r="M44" s="136" t="s">
        <v>139</v>
      </c>
      <c r="P44" s="5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</row>
    <row r="45" spans="1:28" ht="12.75">
      <c r="A45" s="153"/>
      <c r="B45" s="136"/>
      <c r="C45" s="136" t="s">
        <v>149</v>
      </c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P45" s="5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</row>
    <row r="46" spans="1:28" ht="12.75">
      <c r="A46" s="148"/>
      <c r="J46" s="144" t="s">
        <v>153</v>
      </c>
      <c r="P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4" ht="12.75">
      <c r="A47" s="148"/>
      <c r="B47" s="180" t="s">
        <v>151</v>
      </c>
      <c r="C47" s="177">
        <f>R24</f>
        <v>33.939511759747795</v>
      </c>
      <c r="D47" s="3" t="s">
        <v>159</v>
      </c>
    </row>
    <row r="48" spans="1:14" ht="12.75">
      <c r="A48" s="153"/>
      <c r="B48" s="181" t="s">
        <v>152</v>
      </c>
      <c r="C48" s="178">
        <f>D10*D9</f>
        <v>188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5"/>
    </row>
    <row r="49" spans="1:14" ht="12.75">
      <c r="A49" s="153"/>
      <c r="B49" s="182" t="s">
        <v>156</v>
      </c>
      <c r="C49" s="179">
        <f>C47*C48</f>
        <v>6380.628210832586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5"/>
    </row>
    <row r="50" spans="1:14" ht="12.75">
      <c r="A50" s="153"/>
      <c r="B50" s="142"/>
      <c r="C50" s="136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5"/>
    </row>
    <row r="51" spans="1:14" ht="12.75">
      <c r="A51" s="153"/>
      <c r="B51" s="136" t="s">
        <v>157</v>
      </c>
      <c r="C51" s="136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5"/>
    </row>
    <row r="52" spans="1:14" ht="12.75">
      <c r="A52" s="153"/>
      <c r="B52" s="142"/>
      <c r="C52" s="136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5"/>
    </row>
    <row r="53" spans="1:32" ht="12.75">
      <c r="A53" s="153"/>
      <c r="B53" s="149" t="s">
        <v>158</v>
      </c>
      <c r="C53" s="7">
        <v>300</v>
      </c>
      <c r="D53" s="7">
        <v>600</v>
      </c>
      <c r="E53" s="7">
        <v>900</v>
      </c>
      <c r="F53" s="7">
        <v>1200</v>
      </c>
      <c r="G53" s="7">
        <v>1500</v>
      </c>
      <c r="H53" s="7">
        <v>1800</v>
      </c>
      <c r="I53" s="7">
        <v>2100</v>
      </c>
      <c r="J53" s="7">
        <v>2400</v>
      </c>
      <c r="K53" s="7">
        <v>2700</v>
      </c>
      <c r="L53" s="7">
        <v>3000</v>
      </c>
      <c r="M53" s="7">
        <v>3300</v>
      </c>
      <c r="N53" s="7">
        <v>3600</v>
      </c>
      <c r="O53" s="7">
        <v>3900</v>
      </c>
      <c r="P53" s="7">
        <v>4200</v>
      </c>
      <c r="Q53" s="7">
        <v>4500</v>
      </c>
      <c r="R53" s="7">
        <v>4800</v>
      </c>
      <c r="S53" s="7">
        <v>5100</v>
      </c>
      <c r="T53" s="7">
        <v>5400</v>
      </c>
      <c r="U53" s="7">
        <v>5700</v>
      </c>
      <c r="V53" s="7">
        <v>6000</v>
      </c>
      <c r="W53" s="7">
        <v>6300</v>
      </c>
      <c r="X53" s="7">
        <v>6600</v>
      </c>
      <c r="Y53" s="7">
        <v>6900</v>
      </c>
      <c r="Z53" s="7">
        <v>7200</v>
      </c>
      <c r="AA53" s="7">
        <v>7500</v>
      </c>
      <c r="AB53" s="7">
        <v>7800</v>
      </c>
      <c r="AC53" s="7">
        <v>8100</v>
      </c>
      <c r="AD53" s="7">
        <v>8400</v>
      </c>
      <c r="AE53" s="7">
        <v>8700</v>
      </c>
      <c r="AF53" s="7">
        <v>9000</v>
      </c>
    </row>
    <row r="54" spans="1:32" ht="12.75">
      <c r="A54" s="136" t="s">
        <v>160</v>
      </c>
      <c r="B54" s="59" t="s">
        <v>131</v>
      </c>
      <c r="C54" s="150">
        <f>IF(C$53&lt;$C$49,$C$47,C$53/$C$48)</f>
        <v>33.939511759747795</v>
      </c>
      <c r="D54" s="150">
        <f aca="true" t="shared" si="15" ref="D54:AF54">IF(D$53&lt;$C$49,$C$47,D$53/$C$48)</f>
        <v>33.939511759747795</v>
      </c>
      <c r="E54" s="150">
        <f t="shared" si="15"/>
        <v>33.939511759747795</v>
      </c>
      <c r="F54" s="150">
        <f t="shared" si="15"/>
        <v>33.939511759747795</v>
      </c>
      <c r="G54" s="150">
        <f t="shared" si="15"/>
        <v>33.939511759747795</v>
      </c>
      <c r="H54" s="150">
        <f t="shared" si="15"/>
        <v>33.939511759747795</v>
      </c>
      <c r="I54" s="150">
        <f t="shared" si="15"/>
        <v>33.939511759747795</v>
      </c>
      <c r="J54" s="150">
        <f t="shared" si="15"/>
        <v>33.939511759747795</v>
      </c>
      <c r="K54" s="150">
        <f t="shared" si="15"/>
        <v>33.939511759747795</v>
      </c>
      <c r="L54" s="150">
        <f t="shared" si="15"/>
        <v>33.939511759747795</v>
      </c>
      <c r="M54" s="150">
        <f t="shared" si="15"/>
        <v>33.939511759747795</v>
      </c>
      <c r="N54" s="150">
        <f t="shared" si="15"/>
        <v>33.939511759747795</v>
      </c>
      <c r="O54" s="150">
        <f t="shared" si="15"/>
        <v>33.939511759747795</v>
      </c>
      <c r="P54" s="150">
        <f t="shared" si="15"/>
        <v>33.939511759747795</v>
      </c>
      <c r="Q54" s="150">
        <f t="shared" si="15"/>
        <v>33.939511759747795</v>
      </c>
      <c r="R54" s="150">
        <f t="shared" si="15"/>
        <v>33.939511759747795</v>
      </c>
      <c r="S54" s="150">
        <f t="shared" si="15"/>
        <v>33.939511759747795</v>
      </c>
      <c r="T54" s="150">
        <f t="shared" si="15"/>
        <v>33.939511759747795</v>
      </c>
      <c r="U54" s="150">
        <f>IF(U$53&lt;$C$49,$C$47,U$53/$C$48)</f>
        <v>33.939511759747795</v>
      </c>
      <c r="V54" s="150">
        <f t="shared" si="15"/>
        <v>33.939511759747795</v>
      </c>
      <c r="W54" s="150">
        <f t="shared" si="15"/>
        <v>33.939511759747795</v>
      </c>
      <c r="X54" s="150">
        <f t="shared" si="15"/>
        <v>35.1063829787234</v>
      </c>
      <c r="Y54" s="150">
        <f t="shared" si="15"/>
        <v>36.702127659574465</v>
      </c>
      <c r="Z54" s="150">
        <f t="shared" si="15"/>
        <v>38.297872340425535</v>
      </c>
      <c r="AA54" s="150">
        <f t="shared" si="15"/>
        <v>39.8936170212766</v>
      </c>
      <c r="AB54" s="150">
        <f t="shared" si="15"/>
        <v>41.48936170212766</v>
      </c>
      <c r="AC54" s="150">
        <f t="shared" si="15"/>
        <v>43.08510638297872</v>
      </c>
      <c r="AD54" s="150">
        <f t="shared" si="15"/>
        <v>44.680851063829785</v>
      </c>
      <c r="AE54" s="150">
        <f t="shared" si="15"/>
        <v>46.276595744680854</v>
      </c>
      <c r="AF54" s="150">
        <f t="shared" si="15"/>
        <v>47.87234042553192</v>
      </c>
    </row>
    <row r="55" spans="1:32" ht="12.75">
      <c r="A55" s="153"/>
      <c r="B55" s="59" t="s">
        <v>132</v>
      </c>
      <c r="C55" s="151">
        <f>C53*$C$47</f>
        <v>10181.853527924339</v>
      </c>
      <c r="D55" s="151">
        <f aca="true" t="shared" si="16" ref="D55:T55">D53*$C$47</f>
        <v>20363.707055848678</v>
      </c>
      <c r="E55" s="151">
        <f t="shared" si="16"/>
        <v>30545.560583773015</v>
      </c>
      <c r="F55" s="151">
        <f t="shared" si="16"/>
        <v>40727.414111697355</v>
      </c>
      <c r="G55" s="151">
        <f t="shared" si="16"/>
        <v>50909.26763962169</v>
      </c>
      <c r="H55" s="151">
        <f t="shared" si="16"/>
        <v>61091.12116754603</v>
      </c>
      <c r="I55" s="151">
        <f t="shared" si="16"/>
        <v>71272.97469547037</v>
      </c>
      <c r="J55" s="151">
        <f t="shared" si="16"/>
        <v>81454.82822339471</v>
      </c>
      <c r="K55" s="151">
        <f t="shared" si="16"/>
        <v>91636.68175131905</v>
      </c>
      <c r="L55" s="151">
        <f t="shared" si="16"/>
        <v>101818.53527924338</v>
      </c>
      <c r="M55" s="151">
        <f t="shared" si="16"/>
        <v>112000.38880716772</v>
      </c>
      <c r="N55" s="151">
        <f t="shared" si="16"/>
        <v>122182.24233509206</v>
      </c>
      <c r="O55" s="151">
        <f t="shared" si="16"/>
        <v>132364.0958630164</v>
      </c>
      <c r="P55" s="151">
        <f t="shared" si="16"/>
        <v>142545.94939094075</v>
      </c>
      <c r="Q55" s="151">
        <f t="shared" si="16"/>
        <v>152727.80291886508</v>
      </c>
      <c r="R55" s="151">
        <f t="shared" si="16"/>
        <v>162909.65644678942</v>
      </c>
      <c r="S55" s="151">
        <f t="shared" si="16"/>
        <v>173091.50997471376</v>
      </c>
      <c r="T55" s="151">
        <f t="shared" si="16"/>
        <v>183273.3635026381</v>
      </c>
      <c r="U55" s="151">
        <f>U53*$C$47</f>
        <v>193455.21703056243</v>
      </c>
      <c r="V55" s="151">
        <f aca="true" t="shared" si="17" ref="V55:AF55">V53*$C$47</f>
        <v>203637.07055848677</v>
      </c>
      <c r="W55" s="151">
        <f t="shared" si="17"/>
        <v>213818.9240864111</v>
      </c>
      <c r="X55" s="151">
        <f t="shared" si="17"/>
        <v>224000.77761433544</v>
      </c>
      <c r="Y55" s="151">
        <f t="shared" si="17"/>
        <v>234182.63114225978</v>
      </c>
      <c r="Z55" s="151">
        <f t="shared" si="17"/>
        <v>244364.48467018412</v>
      </c>
      <c r="AA55" s="151">
        <f t="shared" si="17"/>
        <v>254546.33819810845</v>
      </c>
      <c r="AB55" s="151">
        <f t="shared" si="17"/>
        <v>264728.1917260328</v>
      </c>
      <c r="AC55" s="151">
        <f t="shared" si="17"/>
        <v>274910.04525395716</v>
      </c>
      <c r="AD55" s="151">
        <f t="shared" si="17"/>
        <v>285091.8987818815</v>
      </c>
      <c r="AE55" s="151">
        <f t="shared" si="17"/>
        <v>295273.75230980583</v>
      </c>
      <c r="AF55" s="151">
        <f t="shared" si="17"/>
        <v>305455.60583773017</v>
      </c>
    </row>
    <row r="56" spans="1:32" ht="12.75">
      <c r="A56" s="153"/>
      <c r="B56" s="59" t="s">
        <v>133</v>
      </c>
      <c r="C56" s="150">
        <f>$C$47+(C53-1)/$C$48</f>
        <v>35.52993729166269</v>
      </c>
      <c r="D56" s="150">
        <f aca="true" t="shared" si="18" ref="D56:T56">$C$47+(D53-1)/$C$48</f>
        <v>37.12568197251375</v>
      </c>
      <c r="E56" s="150">
        <f t="shared" si="18"/>
        <v>38.721426653364816</v>
      </c>
      <c r="F56" s="150">
        <f t="shared" si="18"/>
        <v>40.31717133421588</v>
      </c>
      <c r="G56" s="150">
        <f t="shared" si="18"/>
        <v>41.91291601506694</v>
      </c>
      <c r="H56" s="150">
        <f t="shared" si="18"/>
        <v>43.50866069591801</v>
      </c>
      <c r="I56" s="150">
        <f t="shared" si="18"/>
        <v>45.10440537676907</v>
      </c>
      <c r="J56" s="150">
        <f t="shared" si="18"/>
        <v>46.700150057620135</v>
      </c>
      <c r="K56" s="150">
        <f t="shared" si="18"/>
        <v>48.2958947384712</v>
      </c>
      <c r="L56" s="150">
        <f t="shared" si="18"/>
        <v>49.89163941932226</v>
      </c>
      <c r="M56" s="150">
        <f t="shared" si="18"/>
        <v>51.48738410017333</v>
      </c>
      <c r="N56" s="150">
        <f t="shared" si="18"/>
        <v>53.08312878102439</v>
      </c>
      <c r="O56" s="150">
        <f t="shared" si="18"/>
        <v>54.678873461875455</v>
      </c>
      <c r="P56" s="150">
        <f t="shared" si="18"/>
        <v>56.27461814272652</v>
      </c>
      <c r="Q56" s="150">
        <f t="shared" si="18"/>
        <v>57.87036282357758</v>
      </c>
      <c r="R56" s="150">
        <f t="shared" si="18"/>
        <v>59.46610750442865</v>
      </c>
      <c r="S56" s="150">
        <f t="shared" si="18"/>
        <v>61.061852185279704</v>
      </c>
      <c r="T56" s="150">
        <f t="shared" si="18"/>
        <v>62.657596866130774</v>
      </c>
      <c r="U56" s="150">
        <f>$C$47+(U53-1)/$C$48</f>
        <v>64.25334154698183</v>
      </c>
      <c r="V56" s="150">
        <f aca="true" t="shared" si="19" ref="V56:AF56">$C$47+(V53-1)/$C$48</f>
        <v>65.8490862278329</v>
      </c>
      <c r="W56" s="150">
        <f t="shared" si="19"/>
        <v>67.44483090868397</v>
      </c>
      <c r="X56" s="150">
        <f t="shared" si="19"/>
        <v>69.04057558953502</v>
      </c>
      <c r="Y56" s="150">
        <f t="shared" si="19"/>
        <v>70.6363202703861</v>
      </c>
      <c r="Z56" s="150">
        <f t="shared" si="19"/>
        <v>72.23206495123716</v>
      </c>
      <c r="AA56" s="150">
        <f t="shared" si="19"/>
        <v>73.82780963208822</v>
      </c>
      <c r="AB56" s="150">
        <f t="shared" si="19"/>
        <v>75.42355431293927</v>
      </c>
      <c r="AC56" s="150">
        <f t="shared" si="19"/>
        <v>77.01929899379036</v>
      </c>
      <c r="AD56" s="150">
        <f t="shared" si="19"/>
        <v>78.61504367464141</v>
      </c>
      <c r="AE56" s="150">
        <f t="shared" si="19"/>
        <v>80.21078835549247</v>
      </c>
      <c r="AF56" s="150">
        <f t="shared" si="19"/>
        <v>81.80653303634354</v>
      </c>
    </row>
    <row r="57" spans="1:28" ht="12.75">
      <c r="A57" s="153"/>
      <c r="B57" s="55"/>
      <c r="C57" s="136"/>
      <c r="D57" s="136"/>
      <c r="E57" s="136"/>
      <c r="F57" s="136"/>
      <c r="G57" s="14"/>
      <c r="H57" s="148"/>
      <c r="I57" s="5"/>
      <c r="J57" s="5"/>
      <c r="P57"/>
      <c r="Q57"/>
      <c r="U57" s="136"/>
      <c r="V57" s="136"/>
      <c r="W57" s="136"/>
      <c r="X57" s="136"/>
      <c r="Y57" s="14"/>
      <c r="Z57" s="148"/>
      <c r="AA57" s="5"/>
      <c r="AB57" s="5"/>
    </row>
    <row r="58" spans="1:32" ht="12.75">
      <c r="A58" s="153"/>
      <c r="B58" s="59" t="s">
        <v>134</v>
      </c>
      <c r="C58" s="24">
        <f>IF(C$53&lt;$C$49,C$53/$C$47,$C$48)</f>
        <v>8.839255028877567</v>
      </c>
      <c r="D58" s="24">
        <f aca="true" t="shared" si="20" ref="D58:AF58">IF(D$53&lt;$C$49,D$53/$C$47,$C$48)</f>
        <v>17.678510057755133</v>
      </c>
      <c r="E58" s="24">
        <f t="shared" si="20"/>
        <v>26.5177650866327</v>
      </c>
      <c r="F58" s="24">
        <f t="shared" si="20"/>
        <v>35.35702011551027</v>
      </c>
      <c r="G58" s="24">
        <f t="shared" si="20"/>
        <v>44.19627514438783</v>
      </c>
      <c r="H58" s="24">
        <f t="shared" si="20"/>
        <v>53.0355301732654</v>
      </c>
      <c r="I58" s="24">
        <f t="shared" si="20"/>
        <v>61.87478520214297</v>
      </c>
      <c r="J58" s="24">
        <f t="shared" si="20"/>
        <v>70.71404023102053</v>
      </c>
      <c r="K58" s="24">
        <f t="shared" si="20"/>
        <v>79.55329525989809</v>
      </c>
      <c r="L58" s="24">
        <f t="shared" si="20"/>
        <v>88.39255028877567</v>
      </c>
      <c r="M58" s="24">
        <f t="shared" si="20"/>
        <v>97.23180531765323</v>
      </c>
      <c r="N58" s="24">
        <f t="shared" si="20"/>
        <v>106.0710603465308</v>
      </c>
      <c r="O58" s="24">
        <f t="shared" si="20"/>
        <v>114.91031537540836</v>
      </c>
      <c r="P58" s="24">
        <f t="shared" si="20"/>
        <v>123.74957040428593</v>
      </c>
      <c r="Q58" s="24">
        <f t="shared" si="20"/>
        <v>132.5888254331635</v>
      </c>
      <c r="R58" s="24">
        <f t="shared" si="20"/>
        <v>141.42808046204107</v>
      </c>
      <c r="S58" s="24">
        <f t="shared" si="20"/>
        <v>150.26733549091864</v>
      </c>
      <c r="T58" s="24">
        <f t="shared" si="20"/>
        <v>159.10659051979619</v>
      </c>
      <c r="U58" s="24">
        <f>IF(U$53&lt;$C$49,U$53/$C$47,$C$48)</f>
        <v>167.94584554867376</v>
      </c>
      <c r="V58" s="24">
        <f t="shared" si="20"/>
        <v>176.78510057755133</v>
      </c>
      <c r="W58" s="24">
        <f t="shared" si="20"/>
        <v>185.6243556064289</v>
      </c>
      <c r="X58" s="24">
        <f t="shared" si="20"/>
        <v>188</v>
      </c>
      <c r="Y58" s="24">
        <f t="shared" si="20"/>
        <v>188</v>
      </c>
      <c r="Z58" s="24">
        <f t="shared" si="20"/>
        <v>188</v>
      </c>
      <c r="AA58" s="24">
        <f t="shared" si="20"/>
        <v>188</v>
      </c>
      <c r="AB58" s="24">
        <f t="shared" si="20"/>
        <v>188</v>
      </c>
      <c r="AC58" s="24">
        <f t="shared" si="20"/>
        <v>188</v>
      </c>
      <c r="AD58" s="24">
        <f t="shared" si="20"/>
        <v>188</v>
      </c>
      <c r="AE58" s="24">
        <f t="shared" si="20"/>
        <v>188</v>
      </c>
      <c r="AF58" s="24">
        <f t="shared" si="20"/>
        <v>188</v>
      </c>
    </row>
    <row r="59" spans="1:32" ht="12.75">
      <c r="A59" s="153"/>
      <c r="B59" s="59" t="s">
        <v>135</v>
      </c>
      <c r="C59" s="24">
        <f>1/$C$47</f>
        <v>0.029464183429591888</v>
      </c>
      <c r="D59" s="24">
        <f aca="true" t="shared" si="21" ref="D59:AF59">1/$C$47</f>
        <v>0.029464183429591888</v>
      </c>
      <c r="E59" s="24">
        <f t="shared" si="21"/>
        <v>0.029464183429591888</v>
      </c>
      <c r="F59" s="24">
        <f t="shared" si="21"/>
        <v>0.029464183429591888</v>
      </c>
      <c r="G59" s="24">
        <f t="shared" si="21"/>
        <v>0.029464183429591888</v>
      </c>
      <c r="H59" s="24">
        <f t="shared" si="21"/>
        <v>0.029464183429591888</v>
      </c>
      <c r="I59" s="24">
        <f t="shared" si="21"/>
        <v>0.029464183429591888</v>
      </c>
      <c r="J59" s="24">
        <f t="shared" si="21"/>
        <v>0.029464183429591888</v>
      </c>
      <c r="K59" s="24">
        <f t="shared" si="21"/>
        <v>0.029464183429591888</v>
      </c>
      <c r="L59" s="24">
        <f t="shared" si="21"/>
        <v>0.029464183429591888</v>
      </c>
      <c r="M59" s="24">
        <f t="shared" si="21"/>
        <v>0.029464183429591888</v>
      </c>
      <c r="N59" s="24">
        <f t="shared" si="21"/>
        <v>0.029464183429591888</v>
      </c>
      <c r="O59" s="24">
        <f t="shared" si="21"/>
        <v>0.029464183429591888</v>
      </c>
      <c r="P59" s="24">
        <f t="shared" si="21"/>
        <v>0.029464183429591888</v>
      </c>
      <c r="Q59" s="24">
        <f t="shared" si="21"/>
        <v>0.029464183429591888</v>
      </c>
      <c r="R59" s="24">
        <f t="shared" si="21"/>
        <v>0.029464183429591888</v>
      </c>
      <c r="S59" s="24">
        <f t="shared" si="21"/>
        <v>0.029464183429591888</v>
      </c>
      <c r="T59" s="24">
        <f t="shared" si="21"/>
        <v>0.029464183429591888</v>
      </c>
      <c r="U59" s="24">
        <f>1/$C$47</f>
        <v>0.029464183429591888</v>
      </c>
      <c r="V59" s="24">
        <f t="shared" si="21"/>
        <v>0.029464183429591888</v>
      </c>
      <c r="W59" s="24">
        <f t="shared" si="21"/>
        <v>0.029464183429591888</v>
      </c>
      <c r="X59" s="24">
        <f t="shared" si="21"/>
        <v>0.029464183429591888</v>
      </c>
      <c r="Y59" s="24">
        <f t="shared" si="21"/>
        <v>0.029464183429591888</v>
      </c>
      <c r="Z59" s="24">
        <f t="shared" si="21"/>
        <v>0.029464183429591888</v>
      </c>
      <c r="AA59" s="24">
        <f t="shared" si="21"/>
        <v>0.029464183429591888</v>
      </c>
      <c r="AB59" s="24">
        <f t="shared" si="21"/>
        <v>0.029464183429591888</v>
      </c>
      <c r="AC59" s="24">
        <f t="shared" si="21"/>
        <v>0.029464183429591888</v>
      </c>
      <c r="AD59" s="24">
        <f t="shared" si="21"/>
        <v>0.029464183429591888</v>
      </c>
      <c r="AE59" s="24">
        <f t="shared" si="21"/>
        <v>0.029464183429591888</v>
      </c>
      <c r="AF59" s="24">
        <f t="shared" si="21"/>
        <v>0.029464183429591888</v>
      </c>
    </row>
    <row r="60" spans="1:32" ht="12.75">
      <c r="A60" s="153"/>
      <c r="B60" s="59" t="s">
        <v>136</v>
      </c>
      <c r="C60" s="24">
        <f aca="true" t="shared" si="22" ref="C60:AF60">C$53*$C$48/($C$49+C$53-1)</f>
        <v>8.44358371750903</v>
      </c>
      <c r="D60" s="24">
        <f t="shared" si="22"/>
        <v>16.161319284160598</v>
      </c>
      <c r="E60" s="24">
        <f t="shared" si="22"/>
        <v>23.242945257591426</v>
      </c>
      <c r="F60" s="24">
        <f t="shared" si="22"/>
        <v>29.763992866771353</v>
      </c>
      <c r="G60" s="24">
        <f t="shared" si="22"/>
        <v>35.78849058034466</v>
      </c>
      <c r="H60" s="24">
        <f t="shared" si="22"/>
        <v>41.371073510632705</v>
      </c>
      <c r="I60" s="24">
        <f t="shared" si="22"/>
        <v>46.55864504715542</v>
      </c>
      <c r="J60" s="24">
        <f t="shared" si="22"/>
        <v>51.391697821929974</v>
      </c>
      <c r="K60" s="24">
        <f t="shared" si="22"/>
        <v>55.90537279867916</v>
      </c>
      <c r="L60" s="24">
        <f t="shared" si="22"/>
        <v>60.1303151172488</v>
      </c>
      <c r="M60" s="24">
        <f t="shared" si="22"/>
        <v>64.09337078728943</v>
      </c>
      <c r="N60" s="24">
        <f t="shared" si="22"/>
        <v>67.81815772108162</v>
      </c>
      <c r="O60" s="24">
        <f t="shared" si="22"/>
        <v>71.32553677645267</v>
      </c>
      <c r="P60" s="24">
        <f t="shared" si="22"/>
        <v>74.63400265725035</v>
      </c>
      <c r="Q60" s="24">
        <f t="shared" si="22"/>
        <v>77.76001014057245</v>
      </c>
      <c r="R60" s="24">
        <f t="shared" si="22"/>
        <v>80.718247779082</v>
      </c>
      <c r="S60" s="24">
        <f t="shared" si="22"/>
        <v>83.52186868693553</v>
      </c>
      <c r="T60" s="24">
        <f t="shared" si="22"/>
        <v>86.18268606019488</v>
      </c>
      <c r="U60" s="24">
        <f t="shared" si="22"/>
        <v>88.7113395625063</v>
      </c>
      <c r="V60" s="24">
        <f t="shared" si="22"/>
        <v>91.11743751827397</v>
      </c>
      <c r="W60" s="24">
        <f t="shared" si="22"/>
        <v>93.40967892009101</v>
      </c>
      <c r="X60" s="24">
        <f t="shared" si="22"/>
        <v>95.59595851631933</v>
      </c>
      <c r="Y60" s="24">
        <f t="shared" si="22"/>
        <v>97.68345765447225</v>
      </c>
      <c r="Z60" s="24">
        <f t="shared" si="22"/>
        <v>99.67872308317112</v>
      </c>
      <c r="AA60" s="24">
        <f t="shared" si="22"/>
        <v>101.58773553455431</v>
      </c>
      <c r="AB60" s="24">
        <f t="shared" si="22"/>
        <v>103.41596960065128</v>
      </c>
      <c r="AC60" s="24">
        <f t="shared" si="22"/>
        <v>105.16844616637005</v>
      </c>
      <c r="AD60" s="24">
        <f t="shared" si="22"/>
        <v>106.84977845670979</v>
      </c>
      <c r="AE60" s="24">
        <f t="shared" si="22"/>
        <v>108.46421258748622</v>
      </c>
      <c r="AF60" s="24">
        <f t="shared" si="22"/>
        <v>110.01566337008367</v>
      </c>
    </row>
    <row r="61" spans="1:17" ht="12.75">
      <c r="A61" s="153"/>
      <c r="B61" s="138"/>
      <c r="C61" s="138"/>
      <c r="D61" s="138"/>
      <c r="E61" s="138"/>
      <c r="F61" s="138"/>
      <c r="G61" s="139"/>
      <c r="H61" s="154"/>
      <c r="I61" s="139"/>
      <c r="J61" s="139"/>
      <c r="K61" s="154"/>
      <c r="L61" s="154"/>
      <c r="M61" s="154"/>
      <c r="N61" s="154"/>
      <c r="O61" s="154"/>
      <c r="P61"/>
      <c r="Q61"/>
    </row>
    <row r="62" spans="1:17" ht="12.75">
      <c r="A62" s="153"/>
      <c r="B62" s="138" t="s">
        <v>178</v>
      </c>
      <c r="C62" s="138"/>
      <c r="D62" s="138"/>
      <c r="E62" s="138"/>
      <c r="F62" s="138"/>
      <c r="G62" s="139"/>
      <c r="H62" s="154"/>
      <c r="I62" s="139"/>
      <c r="J62" s="139"/>
      <c r="K62" s="154"/>
      <c r="L62" s="154"/>
      <c r="M62" s="154"/>
      <c r="N62" s="154"/>
      <c r="O62" s="154"/>
      <c r="P62"/>
      <c r="Q62"/>
    </row>
    <row r="63" spans="3:17" ht="12.75">
      <c r="C63" s="202" t="s">
        <v>179</v>
      </c>
      <c r="D63" s="203">
        <f>34*19.5</f>
        <v>663</v>
      </c>
      <c r="G63" s="139"/>
      <c r="H63" s="154"/>
      <c r="I63" s="139"/>
      <c r="J63" s="139"/>
      <c r="K63" s="154"/>
      <c r="L63" s="154"/>
      <c r="M63" s="154"/>
      <c r="N63" s="154"/>
      <c r="O63" s="154"/>
      <c r="P63"/>
      <c r="Q63"/>
    </row>
    <row r="64" spans="3:17" ht="12.75">
      <c r="C64" s="204" t="s">
        <v>180</v>
      </c>
      <c r="D64" s="205">
        <f>1400/19.5</f>
        <v>71.7948717948718</v>
      </c>
      <c r="N64" s="154"/>
      <c r="O64" s="154"/>
      <c r="P64"/>
      <c r="Q64"/>
    </row>
    <row r="65" spans="3:17" ht="12.75">
      <c r="C65" s="206" t="s">
        <v>181</v>
      </c>
      <c r="D65" s="207">
        <v>47600</v>
      </c>
      <c r="N65" s="154"/>
      <c r="O65" s="154"/>
      <c r="P65"/>
      <c r="Q65"/>
    </row>
    <row r="66" spans="14:15" ht="12.75">
      <c r="N66" s="139"/>
      <c r="O66" s="154"/>
    </row>
    <row r="67" spans="14:15" ht="12.75">
      <c r="N67" s="139"/>
      <c r="O67" s="154"/>
    </row>
    <row r="68" spans="14:15" ht="12.75">
      <c r="N68" s="154"/>
      <c r="O68" s="154"/>
    </row>
    <row r="69" spans="14:15" ht="12.75">
      <c r="N69" s="154"/>
      <c r="O69" s="154"/>
    </row>
    <row r="70" spans="14:15" ht="12.75">
      <c r="N70" s="154"/>
      <c r="O70" s="154"/>
    </row>
    <row r="71" spans="14:15" ht="12.75">
      <c r="N71" s="154"/>
      <c r="O71" s="154"/>
    </row>
    <row r="72" spans="1:15" ht="12.75">
      <c r="A72" s="155" t="s">
        <v>161</v>
      </c>
      <c r="B72" s="138"/>
      <c r="C72" s="138"/>
      <c r="D72" s="138"/>
      <c r="E72" s="138"/>
      <c r="F72" s="138"/>
      <c r="G72" s="139"/>
      <c r="H72" s="154"/>
      <c r="I72" s="139"/>
      <c r="J72" s="139"/>
      <c r="K72" s="154"/>
      <c r="L72" s="154"/>
      <c r="M72" s="154"/>
      <c r="N72" s="154"/>
      <c r="O72" s="154"/>
    </row>
    <row r="73" spans="1:13" ht="12.75">
      <c r="A73" s="153"/>
      <c r="B73" s="142"/>
      <c r="C73" s="138" t="s">
        <v>162</v>
      </c>
      <c r="D73" s="138"/>
      <c r="E73" s="138"/>
      <c r="F73" s="138"/>
      <c r="G73" s="139"/>
      <c r="H73" s="154"/>
      <c r="I73" s="139"/>
      <c r="J73" s="139"/>
      <c r="K73" s="154"/>
      <c r="L73" s="154"/>
      <c r="M73" s="154"/>
    </row>
    <row r="74" spans="1:15" ht="12.75">
      <c r="A74" s="153"/>
      <c r="B74" s="142"/>
      <c r="C74" s="138" t="s">
        <v>163</v>
      </c>
      <c r="D74" s="138"/>
      <c r="E74" s="138"/>
      <c r="F74" s="138" t="s">
        <v>164</v>
      </c>
      <c r="G74" s="138"/>
      <c r="H74" s="138"/>
      <c r="I74" s="138"/>
      <c r="J74" s="138"/>
      <c r="K74" s="138"/>
      <c r="L74" s="138"/>
      <c r="M74" s="138"/>
      <c r="N74" s="154"/>
      <c r="O74" s="154"/>
    </row>
    <row r="75" spans="1:15" ht="12.75">
      <c r="A75" s="153"/>
      <c r="B75" s="142" t="s">
        <v>166</v>
      </c>
      <c r="C75" s="138" t="s">
        <v>165</v>
      </c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54"/>
      <c r="O75" s="154"/>
    </row>
    <row r="76" spans="1:15" ht="12.75">
      <c r="A76" s="153"/>
      <c r="B76" s="142"/>
      <c r="C76" s="138" t="s">
        <v>167</v>
      </c>
      <c r="D76" s="138"/>
      <c r="E76" s="138"/>
      <c r="F76" s="138"/>
      <c r="G76" s="154"/>
      <c r="H76" s="154"/>
      <c r="I76" s="154"/>
      <c r="J76" s="154"/>
      <c r="K76" s="154"/>
      <c r="L76" s="154"/>
      <c r="M76" s="154"/>
      <c r="N76" s="154"/>
      <c r="O76" s="154"/>
    </row>
    <row r="77" spans="1:15" ht="12.75">
      <c r="A77" s="148"/>
      <c r="B77" s="13"/>
      <c r="C77" s="156" t="s">
        <v>168</v>
      </c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</row>
    <row r="78" spans="1:15" ht="12.75">
      <c r="A78" s="148"/>
      <c r="B78" s="13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</row>
    <row r="79" spans="1:15" ht="12.75">
      <c r="A79" s="156" t="s">
        <v>168</v>
      </c>
      <c r="B79" s="13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</row>
    <row r="80" spans="1:15" ht="12.75">
      <c r="A80" s="148" t="s">
        <v>169</v>
      </c>
      <c r="B80" s="148" t="s">
        <v>176</v>
      </c>
      <c r="C80" s="154"/>
      <c r="D80" s="154"/>
      <c r="E80" s="13" t="s">
        <v>177</v>
      </c>
      <c r="F80" s="143">
        <f>C30</f>
        <v>71.7948717948718</v>
      </c>
      <c r="G80" s="154"/>
      <c r="H80" s="154"/>
      <c r="I80" s="154"/>
      <c r="J80" s="154"/>
      <c r="K80" s="154"/>
      <c r="L80" s="154"/>
      <c r="M80" s="154"/>
      <c r="N80" s="154"/>
      <c r="O80" s="154"/>
    </row>
    <row r="81" spans="1:15" ht="12.75">
      <c r="A81" s="208" t="s">
        <v>170</v>
      </c>
      <c r="B81" s="209">
        <f aca="true" t="shared" si="23" ref="B81:M81">$F$80/(B10*B9)</f>
        <v>0.2545917439534461</v>
      </c>
      <c r="C81" s="209">
        <f t="shared" si="23"/>
        <v>0.08130789557743125</v>
      </c>
      <c r="D81" s="209">
        <f t="shared" si="23"/>
        <v>0.3818876159301691</v>
      </c>
      <c r="E81" s="209">
        <f t="shared" si="23"/>
        <v>0.33961623365596877</v>
      </c>
      <c r="F81" s="209">
        <f t="shared" si="23"/>
        <v>0.23011176857330704</v>
      </c>
      <c r="G81" s="157">
        <f t="shared" si="23"/>
        <v>0.3418803418803419</v>
      </c>
      <c r="H81" s="157">
        <f t="shared" si="23"/>
        <v>0.33961623365596877</v>
      </c>
      <c r="I81" s="157">
        <f t="shared" si="23"/>
        <v>0.28243458613246186</v>
      </c>
      <c r="J81" s="157">
        <f t="shared" si="23"/>
        <v>0.39886039886039887</v>
      </c>
      <c r="K81" s="157">
        <f t="shared" si="23"/>
        <v>0.37315421930806547</v>
      </c>
      <c r="L81" s="157">
        <f t="shared" si="23"/>
        <v>0.22806503111458637</v>
      </c>
      <c r="M81" s="157">
        <f t="shared" si="23"/>
        <v>0.29545214730399916</v>
      </c>
      <c r="N81" s="154"/>
      <c r="O81" s="154"/>
    </row>
    <row r="82" spans="2:15" ht="12.75">
      <c r="B82" s="210" t="s">
        <v>173</v>
      </c>
      <c r="C82" s="211">
        <f>SUM(B81:M81)/12</f>
        <v>0.2955815179955121</v>
      </c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</row>
    <row r="83" spans="1:15" ht="12.75">
      <c r="A83" s="148" t="s">
        <v>171</v>
      </c>
      <c r="B83" s="13" t="s">
        <v>174</v>
      </c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</row>
    <row r="84" spans="1:15" ht="12.75">
      <c r="A84" s="148" t="s">
        <v>172</v>
      </c>
      <c r="B84" s="13" t="s">
        <v>175</v>
      </c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</row>
    <row r="85" spans="1:24" ht="12.75">
      <c r="A85" s="148"/>
      <c r="B85" s="13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X85">
        <f>180*19.5</f>
        <v>3510</v>
      </c>
    </row>
    <row r="86" spans="1:16" ht="38.25">
      <c r="A86" s="40" t="s">
        <v>83</v>
      </c>
      <c r="B86" s="41">
        <f>B9*1/B19</f>
        <v>282</v>
      </c>
      <c r="C86" s="41">
        <f aca="true" t="shared" si="24" ref="C86:M86">C9*1/C19</f>
        <v>882.9999999999999</v>
      </c>
      <c r="D86" s="41">
        <f t="shared" si="24"/>
        <v>188</v>
      </c>
      <c r="E86" s="41">
        <f t="shared" si="24"/>
        <v>211.4</v>
      </c>
      <c r="F86" s="41">
        <f t="shared" si="24"/>
        <v>312</v>
      </c>
      <c r="G86" s="41">
        <f t="shared" si="24"/>
        <v>210</v>
      </c>
      <c r="H86" s="41">
        <f t="shared" si="24"/>
        <v>211.4</v>
      </c>
      <c r="I86" s="41">
        <f t="shared" si="24"/>
        <v>254.2</v>
      </c>
      <c r="J86" s="41">
        <f t="shared" si="24"/>
        <v>180</v>
      </c>
      <c r="K86" s="41">
        <f t="shared" si="24"/>
        <v>192.40000000000003</v>
      </c>
      <c r="L86" s="41">
        <f t="shared" si="24"/>
        <v>314.8</v>
      </c>
      <c r="M86" s="41">
        <f t="shared" si="24"/>
        <v>242.99999999999997</v>
      </c>
      <c r="N86" s="45">
        <f>MAX(B86:M86)</f>
        <v>882.9999999999999</v>
      </c>
      <c r="O86" s="212">
        <f>MIN(B86:N86)</f>
        <v>180</v>
      </c>
      <c r="P86" s="70" t="s">
        <v>87</v>
      </c>
    </row>
    <row r="87" spans="1:16" ht="38.25">
      <c r="A87" s="40" t="s">
        <v>60</v>
      </c>
      <c r="B87" s="41">
        <f aca="true" t="shared" si="25" ref="B87:M87">B9*1/B21</f>
        <v>214.32</v>
      </c>
      <c r="C87" s="41">
        <f t="shared" si="25"/>
        <v>830.7264000000001</v>
      </c>
      <c r="D87" s="41">
        <f t="shared" si="25"/>
        <v>177.08644067796612</v>
      </c>
      <c r="E87" s="41">
        <f t="shared" si="25"/>
        <v>200.82999999999998</v>
      </c>
      <c r="F87" s="41">
        <f t="shared" si="25"/>
        <v>237.12</v>
      </c>
      <c r="G87" s="41">
        <f t="shared" si="25"/>
        <v>187.39830508474577</v>
      </c>
      <c r="H87" s="41">
        <f t="shared" si="25"/>
        <v>200.82999999999998</v>
      </c>
      <c r="I87" s="41">
        <f t="shared" si="25"/>
        <v>197.72046357615895</v>
      </c>
      <c r="J87" s="41">
        <f t="shared" si="25"/>
        <v>136.42105263157896</v>
      </c>
      <c r="K87" s="41">
        <f t="shared" si="25"/>
        <v>139.92727272727274</v>
      </c>
      <c r="L87" s="41">
        <f t="shared" si="25"/>
        <v>267.58</v>
      </c>
      <c r="M87" s="41">
        <f t="shared" si="25"/>
        <v>236.24999999999997</v>
      </c>
      <c r="N87" s="45">
        <f>MAX(B87:M87)</f>
        <v>830.7264000000001</v>
      </c>
      <c r="O87" s="212">
        <f>MIN(B87:N87)</f>
        <v>136.42105263157896</v>
      </c>
      <c r="P87" s="70" t="s">
        <v>88</v>
      </c>
    </row>
    <row r="88" spans="1:15" ht="15" customHeight="1">
      <c r="A88" s="40" t="s">
        <v>84</v>
      </c>
      <c r="B88" s="41">
        <f>B86*19.5</f>
        <v>5499</v>
      </c>
      <c r="C88" s="41">
        <f aca="true" t="shared" si="26" ref="C88:M88">C86*19.5</f>
        <v>17218.499999999996</v>
      </c>
      <c r="D88" s="41">
        <f t="shared" si="26"/>
        <v>3666</v>
      </c>
      <c r="E88" s="41">
        <f t="shared" si="26"/>
        <v>4122.3</v>
      </c>
      <c r="F88" s="41">
        <f t="shared" si="26"/>
        <v>6084</v>
      </c>
      <c r="G88" s="41">
        <f t="shared" si="26"/>
        <v>4095</v>
      </c>
      <c r="H88" s="41">
        <f t="shared" si="26"/>
        <v>4122.3</v>
      </c>
      <c r="I88" s="41">
        <f t="shared" si="26"/>
        <v>4956.9</v>
      </c>
      <c r="J88" s="41">
        <f t="shared" si="26"/>
        <v>3510</v>
      </c>
      <c r="K88" s="41">
        <f t="shared" si="26"/>
        <v>3751.8000000000006</v>
      </c>
      <c r="L88" s="41">
        <f t="shared" si="26"/>
        <v>6138.6</v>
      </c>
      <c r="M88" s="41">
        <f t="shared" si="26"/>
        <v>4738.499999999999</v>
      </c>
      <c r="N88" s="45">
        <f>MAX(B88:M88)</f>
        <v>17218.499999999996</v>
      </c>
      <c r="O88" s="212">
        <f>MIN(B88:N88)</f>
        <v>3510</v>
      </c>
    </row>
    <row r="89" spans="1:15" ht="38.25">
      <c r="A89" s="40" t="s">
        <v>74</v>
      </c>
      <c r="B89" s="41">
        <f>B87*19.5</f>
        <v>4179.24</v>
      </c>
      <c r="C89" s="41">
        <f aca="true" t="shared" si="27" ref="C89:M89">C87*19.5</f>
        <v>16199.164800000002</v>
      </c>
      <c r="D89" s="41">
        <f t="shared" si="27"/>
        <v>3453.1855932203393</v>
      </c>
      <c r="E89" s="41">
        <f t="shared" si="27"/>
        <v>3916.1849999999995</v>
      </c>
      <c r="F89" s="41">
        <f t="shared" si="27"/>
        <v>4623.84</v>
      </c>
      <c r="G89" s="41">
        <f t="shared" si="27"/>
        <v>3654.2669491525426</v>
      </c>
      <c r="H89" s="41">
        <f t="shared" si="27"/>
        <v>3916.1849999999995</v>
      </c>
      <c r="I89" s="41">
        <f t="shared" si="27"/>
        <v>3855.5490397350995</v>
      </c>
      <c r="J89" s="41">
        <f t="shared" si="27"/>
        <v>2660.2105263157896</v>
      </c>
      <c r="K89" s="41">
        <f t="shared" si="27"/>
        <v>2728.5818181818186</v>
      </c>
      <c r="L89" s="41">
        <f t="shared" si="27"/>
        <v>5217.8099999999995</v>
      </c>
      <c r="M89" s="41">
        <f t="shared" si="27"/>
        <v>4606.874999999999</v>
      </c>
      <c r="N89" s="45">
        <f>MAX(B89:M89)</f>
        <v>16199.164800000002</v>
      </c>
      <c r="O89" s="212">
        <f>MIN(B89:N89)</f>
        <v>2660.2105263157896</v>
      </c>
    </row>
    <row r="90" spans="1:15" ht="12.75">
      <c r="A90" s="40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2"/>
      <c r="N90" s="43"/>
      <c r="O90" s="44"/>
    </row>
    <row r="91" spans="1:15" ht="25.5">
      <c r="A91" s="40" t="s">
        <v>62</v>
      </c>
      <c r="B91" s="41">
        <f>B10*B11</f>
        <v>75.2</v>
      </c>
      <c r="C91" s="41">
        <f aca="true" t="shared" si="28" ref="C91:M91">C10*C11</f>
        <v>865.34</v>
      </c>
      <c r="D91" s="41">
        <f t="shared" si="28"/>
        <v>89.3</v>
      </c>
      <c r="E91" s="41">
        <f t="shared" si="28"/>
        <v>100.41499999999999</v>
      </c>
      <c r="F91" s="41">
        <f t="shared" si="28"/>
        <v>124.80000000000001</v>
      </c>
      <c r="G91" s="41">
        <f t="shared" si="28"/>
        <v>63</v>
      </c>
      <c r="H91" s="41">
        <f t="shared" si="28"/>
        <v>100.41499999999999</v>
      </c>
      <c r="I91" s="41">
        <f t="shared" si="28"/>
        <v>6.6419999999999995</v>
      </c>
      <c r="J91" s="41">
        <f t="shared" si="28"/>
        <v>81</v>
      </c>
      <c r="K91" s="41">
        <f t="shared" si="28"/>
        <v>38.480000000000004</v>
      </c>
      <c r="L91" s="41">
        <f t="shared" si="28"/>
        <v>133.79</v>
      </c>
      <c r="M91" s="42">
        <f t="shared" si="28"/>
        <v>238.14</v>
      </c>
      <c r="N91" s="45">
        <f>MAX(B91:M91)</f>
        <v>865.34</v>
      </c>
      <c r="O91" s="88">
        <f>MIN(B91:N91)</f>
        <v>6.6419999999999995</v>
      </c>
    </row>
    <row r="92" spans="1:15" ht="39" thickBot="1">
      <c r="A92" s="62" t="s">
        <v>64</v>
      </c>
      <c r="B92" s="53">
        <f aca="true" t="shared" si="29" ref="B92:M92">B16+1/B91</f>
        <v>0.013297872340425532</v>
      </c>
      <c r="C92" s="53">
        <f t="shared" si="29"/>
        <v>0.1611556151339358</v>
      </c>
      <c r="D92" s="53">
        <f t="shared" si="29"/>
        <v>1.5111982082866742</v>
      </c>
      <c r="E92" s="53">
        <f t="shared" si="29"/>
        <v>0.16995867151322014</v>
      </c>
      <c r="F92" s="53">
        <f t="shared" si="29"/>
        <v>0.5080128205128205</v>
      </c>
      <c r="G92" s="53">
        <f t="shared" si="29"/>
        <v>2.015873015873016</v>
      </c>
      <c r="H92" s="53">
        <f t="shared" si="29"/>
        <v>0.16995867151322014</v>
      </c>
      <c r="I92" s="53">
        <f t="shared" si="29"/>
        <v>0.3105570611261668</v>
      </c>
      <c r="J92" s="53">
        <f t="shared" si="29"/>
        <v>0.17234567901234568</v>
      </c>
      <c r="K92" s="53">
        <f t="shared" si="29"/>
        <v>2.1259875259875263</v>
      </c>
      <c r="L92" s="53">
        <f t="shared" si="29"/>
        <v>0.1674744001793856</v>
      </c>
      <c r="M92" s="64">
        <f t="shared" si="29"/>
        <v>0.1641992105484169</v>
      </c>
      <c r="N92" s="65">
        <f>MAX(B92:M92)</f>
        <v>2.1259875259875263</v>
      </c>
      <c r="O92" s="89">
        <f>MIN(B92:N92)</f>
        <v>0.013297872340425532</v>
      </c>
    </row>
    <row r="93" spans="1:29" ht="12.75">
      <c r="A93" s="6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P93" s="101"/>
      <c r="Q93" s="102"/>
      <c r="R93" s="102" t="s">
        <v>112</v>
      </c>
      <c r="S93" s="102" t="s">
        <v>113</v>
      </c>
      <c r="T93" s="102"/>
      <c r="U93" s="141" t="s">
        <v>150</v>
      </c>
      <c r="V93" s="102"/>
      <c r="W93" s="102"/>
      <c r="X93" s="102"/>
      <c r="Y93" s="102"/>
      <c r="Z93" s="102"/>
      <c r="AA93" s="102"/>
      <c r="AB93" s="102"/>
      <c r="AC93" s="103"/>
    </row>
    <row r="94" spans="1:29" ht="12.75">
      <c r="A94" s="6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P94" s="104"/>
      <c r="Q94" s="213" t="s">
        <v>110</v>
      </c>
      <c r="R94" s="203">
        <v>1400</v>
      </c>
      <c r="S94" s="147">
        <f>R94/19.5</f>
        <v>71.7948717948718</v>
      </c>
      <c r="T94" s="5"/>
      <c r="U94" s="5"/>
      <c r="V94" s="5"/>
      <c r="W94" s="5"/>
      <c r="X94" s="5"/>
      <c r="Y94" s="5"/>
      <c r="Z94" s="5"/>
      <c r="AA94" s="5"/>
      <c r="AB94" s="5"/>
      <c r="AC94" s="105"/>
    </row>
    <row r="95" spans="1:29" ht="12.75">
      <c r="A95" s="6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P95" s="104"/>
      <c r="Q95" s="213" t="s">
        <v>110</v>
      </c>
      <c r="R95" s="205">
        <v>2000</v>
      </c>
      <c r="S95" s="147">
        <f>R95/19.5</f>
        <v>102.56410256410257</v>
      </c>
      <c r="T95" s="5"/>
      <c r="U95" s="5"/>
      <c r="V95" s="5"/>
      <c r="W95" s="5"/>
      <c r="X95" s="5"/>
      <c r="Y95" s="5"/>
      <c r="Z95" s="5"/>
      <c r="AA95" s="5"/>
      <c r="AB95" s="5"/>
      <c r="AC95" s="105"/>
    </row>
    <row r="96" spans="1:29" ht="12.75">
      <c r="A96" s="6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P96" s="104"/>
      <c r="Q96" s="213" t="s">
        <v>110</v>
      </c>
      <c r="R96" s="207">
        <v>3000</v>
      </c>
      <c r="S96" s="147">
        <f>R96/19.5</f>
        <v>153.84615384615384</v>
      </c>
      <c r="T96" s="5"/>
      <c r="U96" s="5"/>
      <c r="V96" s="5"/>
      <c r="W96" s="5"/>
      <c r="X96" s="5"/>
      <c r="Y96" s="5"/>
      <c r="Z96" s="5"/>
      <c r="AA96" s="5"/>
      <c r="AB96" s="5"/>
      <c r="AC96" s="105"/>
    </row>
    <row r="97" spans="1:29" ht="25.5">
      <c r="A97" s="6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P97" s="214" t="s">
        <v>17</v>
      </c>
      <c r="Q97" s="166">
        <v>300</v>
      </c>
      <c r="R97" s="166">
        <v>60</v>
      </c>
      <c r="S97" s="166">
        <v>120</v>
      </c>
      <c r="T97" s="166">
        <v>60</v>
      </c>
      <c r="U97" s="166">
        <v>120</v>
      </c>
      <c r="V97" s="166">
        <v>120</v>
      </c>
      <c r="W97" s="166">
        <v>60</v>
      </c>
      <c r="X97" s="166">
        <v>60</v>
      </c>
      <c r="Y97" s="166">
        <v>60</v>
      </c>
      <c r="Z97" s="166">
        <v>60</v>
      </c>
      <c r="AA97" s="166">
        <v>60</v>
      </c>
      <c r="AB97" s="166">
        <v>60</v>
      </c>
      <c r="AC97" s="107"/>
    </row>
    <row r="98" spans="1:29" ht="25.5">
      <c r="A98" s="6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P98" s="214" t="s">
        <v>18</v>
      </c>
      <c r="Q98" s="166">
        <v>0.5</v>
      </c>
      <c r="R98" s="166">
        <v>0.25</v>
      </c>
      <c r="S98" s="166">
        <v>0.75</v>
      </c>
      <c r="T98" s="166">
        <v>0.2</v>
      </c>
      <c r="U98" s="166">
        <v>0.5</v>
      </c>
      <c r="V98" s="166">
        <v>0.33</v>
      </c>
      <c r="W98" s="166">
        <v>0.2</v>
      </c>
      <c r="X98" s="166">
        <v>0.6</v>
      </c>
      <c r="Y98" s="166">
        <v>0</v>
      </c>
      <c r="Z98" s="166">
        <v>0.33</v>
      </c>
      <c r="AA98" s="166">
        <v>0.5</v>
      </c>
      <c r="AB98" s="166">
        <v>0.1</v>
      </c>
      <c r="AC98" s="107"/>
    </row>
    <row r="99" spans="1:29" ht="13.5" thickBot="1">
      <c r="A99" s="6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P99" s="104" t="s">
        <v>111</v>
      </c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105"/>
    </row>
    <row r="100" spans="1:29" ht="39" thickBot="1">
      <c r="A100" s="6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P100" s="108" t="s">
        <v>107</v>
      </c>
      <c r="Q100" s="97">
        <f>$S94*B$15/(B32-B37)</f>
        <v>386.12554022988763</v>
      </c>
      <c r="R100" s="98">
        <f aca="true" t="shared" si="30" ref="R100:AB100">$S94*C$15/(C32-C31)</f>
        <v>76.25650982949384</v>
      </c>
      <c r="S100" s="99">
        <f t="shared" si="30"/>
        <v>328.7187433918756</v>
      </c>
      <c r="T100" s="99">
        <f t="shared" si="30"/>
        <v>67.22027763347859</v>
      </c>
      <c r="U100" s="99">
        <f t="shared" si="30"/>
        <v>163.00762428613888</v>
      </c>
      <c r="V100" s="99">
        <f t="shared" si="30"/>
        <v>107.15969048331779</v>
      </c>
      <c r="W100" s="99">
        <f t="shared" si="30"/>
        <v>67.22027763347859</v>
      </c>
      <c r="X100" s="99">
        <f t="shared" si="30"/>
        <v>183.12237343998328</v>
      </c>
      <c r="Y100" s="99">
        <f t="shared" si="30"/>
        <v>0</v>
      </c>
      <c r="Z100" s="99">
        <f t="shared" si="30"/>
        <v>139.0600546440034</v>
      </c>
      <c r="AA100" s="99">
        <f t="shared" si="30"/>
        <v>193.1627296371596</v>
      </c>
      <c r="AB100" s="100">
        <f t="shared" si="30"/>
        <v>31.59195977877427</v>
      </c>
      <c r="AC100" s="105"/>
    </row>
    <row r="101" spans="1:29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P101" s="215" t="s">
        <v>115</v>
      </c>
      <c r="Q101" s="216">
        <f aca="true" t="shared" si="31" ref="Q101:AB101">Q100-Q$97</f>
        <v>86.12554022988763</v>
      </c>
      <c r="R101" s="216">
        <f t="shared" si="31"/>
        <v>16.256509829493837</v>
      </c>
      <c r="S101" s="216">
        <f t="shared" si="31"/>
        <v>208.7187433918756</v>
      </c>
      <c r="T101" s="216">
        <f t="shared" si="31"/>
        <v>7.220277633478588</v>
      </c>
      <c r="U101" s="216">
        <f t="shared" si="31"/>
        <v>43.00762428613888</v>
      </c>
      <c r="V101" s="216">
        <f t="shared" si="31"/>
        <v>-12.840309516682211</v>
      </c>
      <c r="W101" s="216">
        <f t="shared" si="31"/>
        <v>7.220277633478588</v>
      </c>
      <c r="X101" s="216">
        <f t="shared" si="31"/>
        <v>123.12237343998328</v>
      </c>
      <c r="Y101" s="216">
        <f t="shared" si="31"/>
        <v>-60</v>
      </c>
      <c r="Z101" s="216">
        <f t="shared" si="31"/>
        <v>79.0600546440034</v>
      </c>
      <c r="AA101" s="216">
        <f t="shared" si="31"/>
        <v>133.1627296371596</v>
      </c>
      <c r="AB101" s="216">
        <f t="shared" si="31"/>
        <v>-28.40804022122573</v>
      </c>
      <c r="AC101" s="105"/>
    </row>
    <row r="102" spans="1:29" ht="13.5" thickBot="1">
      <c r="A102" s="6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P102" s="108" t="s">
        <v>114</v>
      </c>
      <c r="Q102" s="94">
        <f>Q97/Q100</f>
        <v>0.7769493823728649</v>
      </c>
      <c r="R102" s="94">
        <f aca="true" t="shared" si="32" ref="R102:AB102">R97/R100</f>
        <v>0.7868180714558971</v>
      </c>
      <c r="S102" s="94">
        <f t="shared" si="32"/>
        <v>0.3650537196686237</v>
      </c>
      <c r="T102" s="94">
        <f t="shared" si="32"/>
        <v>0.8925878040425917</v>
      </c>
      <c r="U102" s="94">
        <f t="shared" si="32"/>
        <v>0.7361618852217333</v>
      </c>
      <c r="V102" s="94">
        <f t="shared" si="32"/>
        <v>1.1198240631227014</v>
      </c>
      <c r="W102" s="94">
        <f t="shared" si="32"/>
        <v>0.8925878040425917</v>
      </c>
      <c r="X102" s="94">
        <f t="shared" si="32"/>
        <v>0.3276497506715883</v>
      </c>
      <c r="Y102" s="94" t="e">
        <f t="shared" si="32"/>
        <v>#DIV/0!</v>
      </c>
      <c r="Z102" s="94">
        <f t="shared" si="32"/>
        <v>0.4314682613465185</v>
      </c>
      <c r="AA102" s="94">
        <f t="shared" si="32"/>
        <v>0.3106189279510861</v>
      </c>
      <c r="AB102" s="94">
        <f t="shared" si="32"/>
        <v>1.8992174091178817</v>
      </c>
      <c r="AC102" s="105"/>
    </row>
    <row r="103" spans="1:29" ht="39" thickBot="1">
      <c r="A103" s="6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10"/>
      <c r="P103" s="108" t="s">
        <v>108</v>
      </c>
      <c r="Q103" s="97" t="e">
        <f>$S95*B$15/(B35-#REF!)</f>
        <v>#REF!</v>
      </c>
      <c r="R103" s="98">
        <f aca="true" t="shared" si="33" ref="R103:AB103">$S95*C$15/(C35-C34)</f>
        <v>133.99744888476928</v>
      </c>
      <c r="S103" s="99">
        <f t="shared" si="33"/>
        <v>1575.2995644342482</v>
      </c>
      <c r="T103" s="99">
        <f t="shared" si="33"/>
        <v>142.47545180952176</v>
      </c>
      <c r="U103" s="99">
        <f t="shared" si="33"/>
        <v>325.270795609185</v>
      </c>
      <c r="V103" s="99">
        <f t="shared" si="33"/>
        <v>212.19674662544452</v>
      </c>
      <c r="W103" s="99">
        <f t="shared" si="33"/>
        <v>142.47545180952176</v>
      </c>
      <c r="X103" s="99">
        <f t="shared" si="33"/>
        <v>322.1461798159644</v>
      </c>
      <c r="Y103" s="99">
        <f t="shared" si="33"/>
        <v>0</v>
      </c>
      <c r="Z103" s="99">
        <f t="shared" si="33"/>
        <v>555.9819970526447</v>
      </c>
      <c r="AA103" s="99">
        <f t="shared" si="33"/>
        <v>571.6444126531085</v>
      </c>
      <c r="AB103" s="100">
        <f t="shared" si="33"/>
        <v>59.357300765418934</v>
      </c>
      <c r="AC103" s="105"/>
    </row>
    <row r="104" spans="1:29" ht="12.75">
      <c r="A104" s="6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11"/>
      <c r="P104" s="215" t="s">
        <v>115</v>
      </c>
      <c r="Q104" s="216" t="e">
        <f aca="true" t="shared" si="34" ref="Q104:AB104">Q103-Q$97</f>
        <v>#REF!</v>
      </c>
      <c r="R104" s="216">
        <f t="shared" si="34"/>
        <v>73.99744888476928</v>
      </c>
      <c r="S104" s="216">
        <f t="shared" si="34"/>
        <v>1455.2995644342482</v>
      </c>
      <c r="T104" s="216">
        <f t="shared" si="34"/>
        <v>82.47545180952176</v>
      </c>
      <c r="U104" s="216">
        <f t="shared" si="34"/>
        <v>205.27079560918497</v>
      </c>
      <c r="V104" s="216">
        <f t="shared" si="34"/>
        <v>92.19674662544452</v>
      </c>
      <c r="W104" s="216">
        <f t="shared" si="34"/>
        <v>82.47545180952176</v>
      </c>
      <c r="X104" s="216">
        <f t="shared" si="34"/>
        <v>262.1461798159644</v>
      </c>
      <c r="Y104" s="216">
        <f t="shared" si="34"/>
        <v>-60</v>
      </c>
      <c r="Z104" s="216">
        <f t="shared" si="34"/>
        <v>495.9819970526447</v>
      </c>
      <c r="AA104" s="216">
        <f t="shared" si="34"/>
        <v>511.6444126531085</v>
      </c>
      <c r="AB104" s="216">
        <f t="shared" si="34"/>
        <v>-0.642699234581066</v>
      </c>
      <c r="AC104" s="105"/>
    </row>
    <row r="105" spans="1:29" ht="13.5" thickBot="1">
      <c r="A105" s="6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P105" s="108" t="s">
        <v>114</v>
      </c>
      <c r="Q105" s="95" t="e">
        <f>Q97/Q103</f>
        <v>#REF!</v>
      </c>
      <c r="R105" s="95">
        <f aca="true" t="shared" si="35" ref="R105:AB105">R97/R103</f>
        <v>0.4477697187473832</v>
      </c>
      <c r="S105" s="95">
        <f t="shared" si="35"/>
        <v>0.07617598754500812</v>
      </c>
      <c r="T105" s="95">
        <f t="shared" si="35"/>
        <v>0.4211251779725197</v>
      </c>
      <c r="U105" s="95">
        <f t="shared" si="35"/>
        <v>0.3689233759067039</v>
      </c>
      <c r="V105" s="95">
        <f t="shared" si="35"/>
        <v>0.5655129115236435</v>
      </c>
      <c r="W105" s="95">
        <f t="shared" si="35"/>
        <v>0.4211251779725197</v>
      </c>
      <c r="X105" s="95">
        <f t="shared" si="35"/>
        <v>0.18625085057434732</v>
      </c>
      <c r="Y105" s="95" t="e">
        <f t="shared" si="35"/>
        <v>#DIV/0!</v>
      </c>
      <c r="Z105" s="95">
        <f t="shared" si="35"/>
        <v>0.10791716335793285</v>
      </c>
      <c r="AA105" s="95">
        <f t="shared" si="35"/>
        <v>0.1049603541501067</v>
      </c>
      <c r="AB105" s="95">
        <f t="shared" si="35"/>
        <v>1.010827635797002</v>
      </c>
      <c r="AC105" s="105"/>
    </row>
    <row r="106" spans="1:29" ht="39" thickBot="1">
      <c r="A106" s="6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P106" s="108" t="s">
        <v>109</v>
      </c>
      <c r="Q106" s="97" t="e">
        <f>$S96*B$15/(B38-#REF!)</f>
        <v>#REF!</v>
      </c>
      <c r="R106" s="98">
        <f aca="true" t="shared" si="36" ref="R106:AB106">$S96*C$15/(C38-C37)</f>
        <v>464.8129137844539</v>
      </c>
      <c r="S106" s="99">
        <f t="shared" si="36"/>
        <v>-614.2754445676721</v>
      </c>
      <c r="T106" s="99">
        <f t="shared" si="36"/>
        <v>-2724.550357419144</v>
      </c>
      <c r="U106" s="99">
        <f t="shared" si="36"/>
        <v>5054.598088474426</v>
      </c>
      <c r="V106" s="99">
        <f t="shared" si="36"/>
        <v>2697.05309215269</v>
      </c>
      <c r="W106" s="99">
        <f t="shared" si="36"/>
        <v>-2724.550357419144</v>
      </c>
      <c r="X106" s="99">
        <f t="shared" si="36"/>
        <v>1124.770942208254</v>
      </c>
      <c r="Y106" s="99">
        <f t="shared" si="36"/>
        <v>0</v>
      </c>
      <c r="Z106" s="99">
        <f t="shared" si="36"/>
        <v>-305.80750865462454</v>
      </c>
      <c r="AA106" s="99">
        <f t="shared" si="36"/>
        <v>-679.1431408219739</v>
      </c>
      <c r="AB106" s="100">
        <f t="shared" si="36"/>
        <v>341.3096253692872</v>
      </c>
      <c r="AC106" s="105"/>
    </row>
    <row r="107" spans="1:29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P107" s="215" t="s">
        <v>115</v>
      </c>
      <c r="Q107" s="216" t="e">
        <f aca="true" t="shared" si="37" ref="Q107:AB107">Q106-Q$97</f>
        <v>#REF!</v>
      </c>
      <c r="R107" s="216">
        <f t="shared" si="37"/>
        <v>404.8129137844539</v>
      </c>
      <c r="S107" s="216">
        <f t="shared" si="37"/>
        <v>-734.2754445676721</v>
      </c>
      <c r="T107" s="216">
        <f t="shared" si="37"/>
        <v>-2784.550357419144</v>
      </c>
      <c r="U107" s="216">
        <f t="shared" si="37"/>
        <v>4934.598088474426</v>
      </c>
      <c r="V107" s="216">
        <f t="shared" si="37"/>
        <v>2577.05309215269</v>
      </c>
      <c r="W107" s="216">
        <f t="shared" si="37"/>
        <v>-2784.550357419144</v>
      </c>
      <c r="X107" s="216">
        <f t="shared" si="37"/>
        <v>1064.770942208254</v>
      </c>
      <c r="Y107" s="216">
        <f t="shared" si="37"/>
        <v>-60</v>
      </c>
      <c r="Z107" s="216">
        <f t="shared" si="37"/>
        <v>-365.80750865462454</v>
      </c>
      <c r="AA107" s="216">
        <f t="shared" si="37"/>
        <v>-739.1431408219739</v>
      </c>
      <c r="AB107" s="216">
        <f t="shared" si="37"/>
        <v>281.3096253692872</v>
      </c>
      <c r="AC107" s="105"/>
    </row>
    <row r="108" spans="1:29" ht="12.75">
      <c r="A108" s="6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P108" s="108" t="s">
        <v>114</v>
      </c>
      <c r="Q108" s="24" t="e">
        <f>Q97/Q106</f>
        <v>#REF!</v>
      </c>
      <c r="R108" s="24">
        <f aca="true" t="shared" si="38" ref="R108:AB108">R97/R106</f>
        <v>0.1290841932757135</v>
      </c>
      <c r="S108" s="24">
        <f t="shared" si="38"/>
        <v>-0.19535210313421555</v>
      </c>
      <c r="T108" s="24">
        <f t="shared" si="38"/>
        <v>-0.02202198239302707</v>
      </c>
      <c r="U108" s="24">
        <f t="shared" si="38"/>
        <v>0.023740759977262264</v>
      </c>
      <c r="V108" s="24">
        <f t="shared" si="38"/>
        <v>0.04449300621821291</v>
      </c>
      <c r="W108" s="24">
        <f t="shared" si="38"/>
        <v>-0.02202198239302707</v>
      </c>
      <c r="X108" s="24">
        <f t="shared" si="38"/>
        <v>0.053344194580811695</v>
      </c>
      <c r="Y108" s="24" t="e">
        <f t="shared" si="38"/>
        <v>#DIV/0!</v>
      </c>
      <c r="Z108" s="24">
        <f t="shared" si="38"/>
        <v>-0.196201853459927</v>
      </c>
      <c r="AA108" s="24">
        <f t="shared" si="38"/>
        <v>-0.08834661854551219</v>
      </c>
      <c r="AB108" s="24">
        <f t="shared" si="38"/>
        <v>0.1757934600733329</v>
      </c>
      <c r="AC108" s="105"/>
    </row>
    <row r="109" spans="1:29" ht="13.5" thickBot="1">
      <c r="A109" s="6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P109" s="109"/>
      <c r="Q109" s="110"/>
      <c r="R109" s="111"/>
      <c r="S109" s="112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3"/>
    </row>
    <row r="110" spans="1:14" ht="12.75">
      <c r="A110" s="6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</row>
    <row r="111" spans="1:14" ht="12.75">
      <c r="A111" s="6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</row>
    <row r="112" spans="1:14" ht="12.75">
      <c r="A112" s="6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</row>
    <row r="113" spans="1:14" ht="12.75">
      <c r="A113" s="6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</row>
    <row r="114" spans="1:14" ht="12.75">
      <c r="A114" s="6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</row>
    <row r="115" spans="1:13" ht="12.75">
      <c r="A115" s="6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</sheetData>
  <printOptions/>
  <pageMargins left="0.75" right="0.75" top="1" bottom="1" header="0.5" footer="0.5"/>
  <pageSetup fitToHeight="1" fitToWidth="1" horizontalDpi="600" verticalDpi="6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Ted Gardner</dc:creator>
  <cp:keywords/>
  <dc:description/>
  <cp:lastModifiedBy>BYU</cp:lastModifiedBy>
  <cp:lastPrinted>2002-12-16T23:27:00Z</cp:lastPrinted>
  <dcterms:created xsi:type="dcterms:W3CDTF">2002-12-07T21:22:42Z</dcterms:created>
  <dcterms:modified xsi:type="dcterms:W3CDTF">2003-03-30T05:21:33Z</dcterms:modified>
  <cp:category/>
  <cp:version/>
  <cp:contentType/>
  <cp:contentStatus/>
</cp:coreProperties>
</file>